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aulo\Documents\PUBLICAÇÕES\2015\"/>
    </mc:Choice>
  </mc:AlternateContent>
  <bookViews>
    <workbookView xWindow="0" yWindow="0" windowWidth="19200" windowHeight="9495" activeTab="1"/>
  </bookViews>
  <sheets>
    <sheet name="QUADRO 2015" sheetId="2" r:id="rId1"/>
    <sheet name="Plan3" sheetId="3" r:id="rId2"/>
  </sheets>
  <calcPr calcId="152511"/>
</workbook>
</file>

<file path=xl/calcChain.xml><?xml version="1.0" encoding="utf-8"?>
<calcChain xmlns="http://schemas.openxmlformats.org/spreadsheetml/2006/main">
  <c r="D40" i="2" l="1"/>
  <c r="C48" i="3"/>
  <c r="C46" i="3"/>
  <c r="C40" i="3"/>
  <c r="E14" i="3"/>
  <c r="D14" i="3"/>
  <c r="C14" i="3"/>
  <c r="F14" i="3"/>
  <c r="N24" i="3" l="1"/>
  <c r="D94" i="2" l="1"/>
  <c r="D97" i="2"/>
  <c r="D75" i="2" l="1"/>
  <c r="D74" i="2"/>
  <c r="D102" i="2"/>
  <c r="D96" i="2"/>
  <c r="D95" i="2"/>
  <c r="D66" i="2"/>
  <c r="D73" i="2"/>
  <c r="D72" i="2"/>
  <c r="D68" i="2" l="1"/>
  <c r="D69" i="2"/>
  <c r="D67" i="2"/>
  <c r="L8" i="3" l="1"/>
  <c r="N8" i="3"/>
  <c r="L7" i="3"/>
  <c r="N7" i="3"/>
  <c r="L6" i="3"/>
  <c r="N6" i="3"/>
  <c r="C97" i="2" l="1"/>
  <c r="C75" i="2"/>
  <c r="C74" i="2"/>
  <c r="C71" i="2" s="1"/>
  <c r="C102" i="2"/>
  <c r="C96" i="2"/>
  <c r="C95" i="2"/>
  <c r="C94" i="2"/>
  <c r="C68" i="2"/>
  <c r="C66" i="2"/>
  <c r="C67" i="2"/>
  <c r="E71" i="2"/>
  <c r="C5" i="3"/>
  <c r="K51" i="3"/>
  <c r="K52" i="3"/>
  <c r="D5" i="3" s="1"/>
  <c r="K53" i="3"/>
  <c r="E5" i="3" s="1"/>
  <c r="K48" i="3"/>
  <c r="K32" i="3"/>
  <c r="K16" i="3"/>
  <c r="L5" i="3"/>
  <c r="N5" i="3"/>
  <c r="L4" i="3"/>
  <c r="N3" i="3"/>
  <c r="F5" i="3" l="1"/>
  <c r="C40" i="2" s="1"/>
  <c r="K64" i="3"/>
  <c r="L16" i="3"/>
  <c r="E16" i="3" l="1"/>
  <c r="E30" i="3" l="1"/>
  <c r="E33" i="3" l="1"/>
  <c r="E32" i="3"/>
  <c r="E31" i="3"/>
  <c r="E29" i="3"/>
  <c r="D33" i="3"/>
  <c r="D32" i="3"/>
  <c r="D31" i="3"/>
  <c r="D30" i="3"/>
  <c r="D29" i="3"/>
  <c r="C33" i="3"/>
  <c r="C32" i="3"/>
  <c r="C31" i="3"/>
  <c r="C30" i="3"/>
  <c r="C29" i="3"/>
  <c r="E21" i="3"/>
  <c r="D21" i="3"/>
  <c r="E25" i="3"/>
  <c r="C24" i="3"/>
  <c r="D25" i="3"/>
  <c r="E23" i="3"/>
  <c r="E24" i="3"/>
  <c r="E22" i="3"/>
  <c r="D24" i="3"/>
  <c r="D23" i="3"/>
  <c r="D22" i="3"/>
  <c r="C25" i="3"/>
  <c r="C23" i="3"/>
  <c r="C22" i="3"/>
  <c r="C21" i="3"/>
  <c r="E17" i="3" l="1"/>
  <c r="E15" i="3"/>
  <c r="E13" i="3"/>
  <c r="E12" i="3"/>
  <c r="D17" i="3"/>
  <c r="D16" i="3"/>
  <c r="D15" i="3"/>
  <c r="D13" i="3"/>
  <c r="D12" i="3"/>
  <c r="C17" i="3"/>
  <c r="C16" i="3"/>
  <c r="C15" i="3"/>
  <c r="C13" i="3"/>
  <c r="C12" i="3"/>
  <c r="O53" i="3"/>
  <c r="E8" i="3"/>
  <c r="E7" i="3"/>
  <c r="E6" i="3"/>
  <c r="E4" i="3"/>
  <c r="D8" i="3"/>
  <c r="D7" i="3"/>
  <c r="D6" i="3"/>
  <c r="D4" i="3"/>
  <c r="D3" i="3"/>
  <c r="C8" i="3"/>
  <c r="C7" i="3"/>
  <c r="C6" i="3"/>
  <c r="C4" i="3"/>
  <c r="N64" i="3"/>
  <c r="M64" i="3"/>
  <c r="L64" i="3"/>
  <c r="J64" i="3"/>
  <c r="O62" i="3"/>
  <c r="O61" i="3"/>
  <c r="O60" i="3"/>
  <c r="O59" i="3"/>
  <c r="O58" i="3"/>
  <c r="O57" i="3"/>
  <c r="O56" i="3"/>
  <c r="O55" i="3"/>
  <c r="O54" i="3"/>
  <c r="I64" i="3"/>
  <c r="O52" i="3"/>
  <c r="O51" i="3"/>
  <c r="O37" i="3"/>
  <c r="N48" i="3"/>
  <c r="M48" i="3"/>
  <c r="L48" i="3"/>
  <c r="J48" i="3"/>
  <c r="O46" i="3"/>
  <c r="O45" i="3"/>
  <c r="O44" i="3"/>
  <c r="O43" i="3"/>
  <c r="O42" i="3"/>
  <c r="O41" i="3"/>
  <c r="O40" i="3"/>
  <c r="O39" i="3"/>
  <c r="O38" i="3"/>
  <c r="O36" i="3"/>
  <c r="O35" i="3"/>
  <c r="I48" i="3"/>
  <c r="N32" i="3"/>
  <c r="M32" i="3"/>
  <c r="J32" i="3"/>
  <c r="O30" i="3"/>
  <c r="O29" i="3"/>
  <c r="O28" i="3"/>
  <c r="O27" i="3"/>
  <c r="O26" i="3"/>
  <c r="O25" i="3"/>
  <c r="O24" i="3"/>
  <c r="O23" i="3"/>
  <c r="O22" i="3"/>
  <c r="O21" i="3"/>
  <c r="O20" i="3"/>
  <c r="L32" i="3"/>
  <c r="I32" i="3"/>
  <c r="M16" i="3"/>
  <c r="O4" i="3"/>
  <c r="O5" i="3"/>
  <c r="O6" i="3"/>
  <c r="O7" i="3"/>
  <c r="O8" i="3"/>
  <c r="O9" i="3"/>
  <c r="O10" i="3"/>
  <c r="O11" i="3"/>
  <c r="O12" i="3"/>
  <c r="O13" i="3"/>
  <c r="O14" i="3"/>
  <c r="J16" i="3"/>
  <c r="N16" i="3"/>
  <c r="I16" i="3"/>
  <c r="C65" i="2" l="1"/>
  <c r="E3" i="3"/>
  <c r="E9" i="3" s="1"/>
  <c r="O3" i="3"/>
  <c r="E65" i="2"/>
  <c r="C3" i="3"/>
  <c r="C9" i="3" s="1"/>
  <c r="O64" i="3"/>
  <c r="O48" i="3"/>
  <c r="O32" i="3"/>
  <c r="O19" i="3"/>
  <c r="O16" i="3"/>
  <c r="F32" i="2"/>
  <c r="F30" i="2"/>
  <c r="E32" i="2"/>
  <c r="E28" i="2" s="1"/>
  <c r="E12" i="2" s="1"/>
  <c r="E30" i="2"/>
  <c r="F33" i="3"/>
  <c r="F32" i="3"/>
  <c r="F31" i="3"/>
  <c r="F30" i="3"/>
  <c r="F42" i="2" s="1"/>
  <c r="E34" i="3"/>
  <c r="D34" i="3"/>
  <c r="C34" i="3"/>
  <c r="F8" i="3"/>
  <c r="F7" i="3"/>
  <c r="F6" i="3"/>
  <c r="C45" i="2" s="1"/>
  <c r="F4" i="3"/>
  <c r="C42" i="2" s="1"/>
  <c r="D9" i="3"/>
  <c r="F25" i="3"/>
  <c r="F24" i="3"/>
  <c r="F23" i="3"/>
  <c r="E45" i="2" s="1"/>
  <c r="F22" i="3"/>
  <c r="E26" i="3"/>
  <c r="D26" i="3"/>
  <c r="C26" i="3"/>
  <c r="D18" i="3"/>
  <c r="C18" i="3"/>
  <c r="F13" i="3"/>
  <c r="D42" i="2" s="1"/>
  <c r="F15" i="3"/>
  <c r="D45" i="2" s="1"/>
  <c r="F16" i="3"/>
  <c r="F17" i="3"/>
  <c r="F12" i="3"/>
  <c r="D39" i="2" s="1"/>
  <c r="C48" i="2"/>
  <c r="G104" i="2"/>
  <c r="G103" i="2"/>
  <c r="G102" i="2"/>
  <c r="G101" i="2"/>
  <c r="F100" i="2"/>
  <c r="F99" i="2" s="1"/>
  <c r="E100" i="2"/>
  <c r="E99" i="2" s="1"/>
  <c r="D100" i="2"/>
  <c r="D99" i="2" s="1"/>
  <c r="C100" i="2"/>
  <c r="C99" i="2" s="1"/>
  <c r="G97" i="2"/>
  <c r="G96" i="2"/>
  <c r="G95" i="2"/>
  <c r="G94" i="2"/>
  <c r="F93" i="2"/>
  <c r="E93" i="2"/>
  <c r="D93" i="2"/>
  <c r="C93" i="2"/>
  <c r="G92" i="2"/>
  <c r="G91" i="2"/>
  <c r="G90" i="2"/>
  <c r="G89" i="2"/>
  <c r="F88" i="2"/>
  <c r="E88" i="2"/>
  <c r="D88" i="2"/>
  <c r="C88" i="2"/>
  <c r="G82" i="2"/>
  <c r="G81" i="2"/>
  <c r="G80" i="2"/>
  <c r="G79" i="2"/>
  <c r="F78" i="2"/>
  <c r="F77" i="2" s="1"/>
  <c r="E78" i="2"/>
  <c r="E77" i="2" s="1"/>
  <c r="D78" i="2"/>
  <c r="D77" i="2" s="1"/>
  <c r="D52" i="2" s="1"/>
  <c r="C78" i="2"/>
  <c r="C77" i="2" s="1"/>
  <c r="G75" i="2"/>
  <c r="G74" i="2"/>
  <c r="G73" i="2"/>
  <c r="G72" i="2"/>
  <c r="F71" i="2"/>
  <c r="D71" i="2"/>
  <c r="G70" i="2"/>
  <c r="G69" i="2"/>
  <c r="G67" i="2"/>
  <c r="G53" i="2"/>
  <c r="G51" i="2"/>
  <c r="G50" i="2"/>
  <c r="G49" i="2"/>
  <c r="F48" i="2"/>
  <c r="E48" i="2"/>
  <c r="G41" i="2"/>
  <c r="G40" i="2"/>
  <c r="G38" i="2"/>
  <c r="G31" i="2"/>
  <c r="G29" i="2"/>
  <c r="C28" i="2"/>
  <c r="C12" i="2" s="1"/>
  <c r="G24" i="2"/>
  <c r="G22" i="2"/>
  <c r="D46" i="2" l="1"/>
  <c r="D25" i="2" s="1"/>
  <c r="C46" i="2"/>
  <c r="C42" i="3"/>
  <c r="C43" i="3"/>
  <c r="F45" i="2"/>
  <c r="G45" i="2" s="1"/>
  <c r="C41" i="3"/>
  <c r="E42" i="2"/>
  <c r="G42" i="2" s="1"/>
  <c r="C39" i="3"/>
  <c r="C16" i="2"/>
  <c r="E46" i="2"/>
  <c r="E25" i="2" s="1"/>
  <c r="F46" i="2"/>
  <c r="D65" i="2"/>
  <c r="D64" i="2" s="1"/>
  <c r="D63" i="2" s="1"/>
  <c r="D44" i="2" s="1"/>
  <c r="D43" i="2" s="1"/>
  <c r="G32" i="2"/>
  <c r="F28" i="2"/>
  <c r="F12" i="2" s="1"/>
  <c r="G68" i="2"/>
  <c r="F16" i="2"/>
  <c r="E16" i="2"/>
  <c r="E87" i="2"/>
  <c r="E86" i="2" s="1"/>
  <c r="D26" i="2"/>
  <c r="C25" i="2"/>
  <c r="D87" i="2"/>
  <c r="D86" i="2" s="1"/>
  <c r="C87" i="2"/>
  <c r="C86" i="2" s="1"/>
  <c r="C64" i="2"/>
  <c r="F87" i="2"/>
  <c r="F86" i="2" s="1"/>
  <c r="E64" i="2"/>
  <c r="D48" i="2"/>
  <c r="G48" i="2" s="1"/>
  <c r="D30" i="2"/>
  <c r="G52" i="2"/>
  <c r="D16" i="2"/>
  <c r="F29" i="3"/>
  <c r="F3" i="3"/>
  <c r="F21" i="3"/>
  <c r="E18" i="3"/>
  <c r="F18" i="3"/>
  <c r="G71" i="2"/>
  <c r="G93" i="2"/>
  <c r="G100" i="2"/>
  <c r="G99" i="2" s="1"/>
  <c r="G78" i="2"/>
  <c r="G77" i="2" s="1"/>
  <c r="G88" i="2"/>
  <c r="D37" i="2" l="1"/>
  <c r="C47" i="3"/>
  <c r="C38" i="3"/>
  <c r="G46" i="2"/>
  <c r="F25" i="2"/>
  <c r="G25" i="2" s="1"/>
  <c r="F34" i="3"/>
  <c r="F39" i="2"/>
  <c r="F26" i="2" s="1"/>
  <c r="F65" i="2"/>
  <c r="F64" i="2" s="1"/>
  <c r="F63" i="2" s="1"/>
  <c r="F44" i="2" s="1"/>
  <c r="F23" i="2" s="1"/>
  <c r="G66" i="2"/>
  <c r="G65" i="2" s="1"/>
  <c r="G64" i="2" s="1"/>
  <c r="G16" i="2"/>
  <c r="E15" i="2"/>
  <c r="E14" i="2" s="1"/>
  <c r="F26" i="3"/>
  <c r="E39" i="2"/>
  <c r="E26" i="2" s="1"/>
  <c r="F9" i="3"/>
  <c r="C39" i="2"/>
  <c r="C15" i="2"/>
  <c r="C14" i="2" s="1"/>
  <c r="C63" i="2"/>
  <c r="C44" i="2" s="1"/>
  <c r="E63" i="2"/>
  <c r="E44" i="2" s="1"/>
  <c r="E43" i="2" s="1"/>
  <c r="D36" i="2"/>
  <c r="D15" i="2"/>
  <c r="G30" i="2"/>
  <c r="G28" i="2" s="1"/>
  <c r="D28" i="2"/>
  <c r="D12" i="2" s="1"/>
  <c r="G12" i="2" s="1"/>
  <c r="G87" i="2"/>
  <c r="G86" i="2" s="1"/>
  <c r="C44" i="3" l="1"/>
  <c r="G63" i="2"/>
  <c r="F15" i="2"/>
  <c r="F14" i="2" s="1"/>
  <c r="F21" i="2"/>
  <c r="F11" i="2" s="1"/>
  <c r="F10" i="2" s="1"/>
  <c r="F43" i="2"/>
  <c r="F37" i="2" s="1"/>
  <c r="F36" i="2" s="1"/>
  <c r="E37" i="2"/>
  <c r="E36" i="2" s="1"/>
  <c r="C23" i="2"/>
  <c r="C43" i="2"/>
  <c r="C37" i="2" s="1"/>
  <c r="C36" i="2" s="1"/>
  <c r="C26" i="2"/>
  <c r="G26" i="2" s="1"/>
  <c r="G39" i="2"/>
  <c r="E23" i="2"/>
  <c r="E21" i="2" s="1"/>
  <c r="E11" i="2" s="1"/>
  <c r="E10" i="2" s="1"/>
  <c r="D14" i="2"/>
  <c r="D23" i="2"/>
  <c r="G44" i="2"/>
  <c r="G15" i="2" l="1"/>
  <c r="G14" i="2" s="1"/>
  <c r="F20" i="2"/>
  <c r="E20" i="2"/>
  <c r="G43" i="2"/>
  <c r="G37" i="2" s="1"/>
  <c r="G36" i="2" s="1"/>
  <c r="C21" i="2"/>
  <c r="D21" i="2"/>
  <c r="G23" i="2"/>
  <c r="G21" i="2" s="1"/>
  <c r="G20" i="2" s="1"/>
  <c r="C20" i="2" l="1"/>
  <c r="C11" i="2"/>
  <c r="C10" i="2" s="1"/>
  <c r="D11" i="2"/>
  <c r="D20" i="2"/>
  <c r="G11" i="2" l="1"/>
  <c r="G10" i="2" s="1"/>
  <c r="D10" i="2"/>
</calcChain>
</file>

<file path=xl/sharedStrings.xml><?xml version="1.0" encoding="utf-8"?>
<sst xmlns="http://schemas.openxmlformats.org/spreadsheetml/2006/main" count="251" uniqueCount="88">
  <si>
    <t>Universidade Estadual do Norte do Paraná</t>
  </si>
  <si>
    <t>Quadros Demonstrativos - Decreto nº 6194 de 22/08/2002</t>
  </si>
  <si>
    <t>Quadro I - Execução Orçamentária</t>
  </si>
  <si>
    <t>Discriminação</t>
  </si>
  <si>
    <t>1.º Trimestre</t>
  </si>
  <si>
    <t>SOMA</t>
  </si>
  <si>
    <t>Quadro II - Receitas por Origem e Recurso</t>
  </si>
  <si>
    <t>Receita Total</t>
  </si>
  <si>
    <t xml:space="preserve">   Receitas Correntes</t>
  </si>
  <si>
    <t xml:space="preserve">   Receitas de Capital</t>
  </si>
  <si>
    <t>Despesa Total</t>
  </si>
  <si>
    <t xml:space="preserve">   Despesas Correntes</t>
  </si>
  <si>
    <t xml:space="preserve">   Despesas de Capital</t>
  </si>
  <si>
    <t xml:space="preserve">      Recebida do Governo Federal</t>
  </si>
  <si>
    <t xml:space="preserve">      Recebida do Governo Estadual</t>
  </si>
  <si>
    <t xml:space="preserve">      Recebida dos Municípios</t>
  </si>
  <si>
    <t xml:space="preserve">      Recebida de Outros Órgãos</t>
  </si>
  <si>
    <t>2.º Trimestre</t>
  </si>
  <si>
    <t>3.º Trimestre</t>
  </si>
  <si>
    <t>4.º Trimestre</t>
  </si>
  <si>
    <t xml:space="preserve">Quadro III - Receitas por Título </t>
  </si>
  <si>
    <t xml:space="preserve">      Receita de Contribuições</t>
  </si>
  <si>
    <t xml:space="preserve">      Receita Patrimonial</t>
  </si>
  <si>
    <t xml:space="preserve">      Receita Agropecuária</t>
  </si>
  <si>
    <t xml:space="preserve">      Receita Industrial</t>
  </si>
  <si>
    <t xml:space="preserve">      Receita de Serviços</t>
  </si>
  <si>
    <t xml:space="preserve">      Transferências Correntes</t>
  </si>
  <si>
    <t xml:space="preserve">      Outras Transferências Correntes</t>
  </si>
  <si>
    <t xml:space="preserve">      Operações de Crédito</t>
  </si>
  <si>
    <t xml:space="preserve">      Alienação de Bens</t>
  </si>
  <si>
    <t xml:space="preserve">      Amortização de Empréstimos</t>
  </si>
  <si>
    <t xml:space="preserve">      Transferência de Capital</t>
  </si>
  <si>
    <t xml:space="preserve">      Outras Receitas de Capital</t>
  </si>
  <si>
    <t xml:space="preserve">Quadro IV - Despesas do Tesouro Estadual </t>
  </si>
  <si>
    <t xml:space="preserve">      1 - Pessoal e Encargos Sociais</t>
  </si>
  <si>
    <t xml:space="preserve">           Vencimento e Vantagens Fixas</t>
  </si>
  <si>
    <t xml:space="preserve">           Contratação por Tempo Determinado</t>
  </si>
  <si>
    <t xml:space="preserve">           Outras Despesas com Pessoal</t>
  </si>
  <si>
    <t xml:space="preserve">      2 - Juros e Encargos da Dívida</t>
  </si>
  <si>
    <t xml:space="preserve">      3 - Outras Despesas Correntes</t>
  </si>
  <si>
    <t xml:space="preserve">           Material de Consumo</t>
  </si>
  <si>
    <t xml:space="preserve">           Passagens e Despesas c/Locomoção</t>
  </si>
  <si>
    <t xml:space="preserve">           Outros Serviços Terceiros - Fis. e Jur.</t>
  </si>
  <si>
    <t xml:space="preserve">      4 - Investimentos</t>
  </si>
  <si>
    <t xml:space="preserve">           Obras e Instalações</t>
  </si>
  <si>
    <t xml:space="preserve">           Equipamentos e Material Permanente</t>
  </si>
  <si>
    <t xml:space="preserve">      5 - Inversões Financeiras</t>
  </si>
  <si>
    <t xml:space="preserve">      6 - Amortização da Dívida</t>
  </si>
  <si>
    <t xml:space="preserve">Quadro V - Despesas de Outras Fontes </t>
  </si>
  <si>
    <t xml:space="preserve">           Outras Despesas de Custeio</t>
  </si>
  <si>
    <t xml:space="preserve">      Diretamente Arrecadada</t>
  </si>
  <si>
    <t xml:space="preserve">         Fundação Araucária</t>
  </si>
  <si>
    <t xml:space="preserve">         Tesouro Geral do Estado</t>
  </si>
  <si>
    <t>ABRIL</t>
  </si>
  <si>
    <t>MAIO</t>
  </si>
  <si>
    <t>JUNHO</t>
  </si>
  <si>
    <t>TOTAL</t>
  </si>
  <si>
    <t>RECEITA</t>
  </si>
  <si>
    <t>Diretamente Arrecadada</t>
  </si>
  <si>
    <t>Fundação Araucária / Convênios</t>
  </si>
  <si>
    <t>Convênios Federais</t>
  </si>
  <si>
    <t>Receita Patrimonial</t>
  </si>
  <si>
    <t>JULHO</t>
  </si>
  <si>
    <t>AGOSTO</t>
  </si>
  <si>
    <t>SETEMBRO</t>
  </si>
  <si>
    <t>JANEIRO</t>
  </si>
  <si>
    <t>FEVEREIRO</t>
  </si>
  <si>
    <t>MARÇO</t>
  </si>
  <si>
    <t>DEZEMBRO</t>
  </si>
  <si>
    <t>NOVEMBRO</t>
  </si>
  <si>
    <t>OUTUBRO</t>
  </si>
  <si>
    <t xml:space="preserve">           Encargos Patronais</t>
  </si>
  <si>
    <t>REITORIA</t>
  </si>
  <si>
    <t>PATRIMONIAL</t>
  </si>
  <si>
    <t>DIR. ARREC.</t>
  </si>
  <si>
    <t>CONV. FED.</t>
  </si>
  <si>
    <t>F. ARAUCÁRIA</t>
  </si>
  <si>
    <t>T.CONTAS</t>
  </si>
  <si>
    <t>Outros Convênios</t>
  </si>
  <si>
    <t>C.JACAREZINHO</t>
  </si>
  <si>
    <t>C.CORN. PROCÓPIO</t>
  </si>
  <si>
    <t>C. BANDEIRANTES</t>
  </si>
  <si>
    <t>TOTAL ANO</t>
  </si>
  <si>
    <t>Convênios</t>
  </si>
  <si>
    <t>Exercício Financeiro de 2015</t>
  </si>
  <si>
    <t>AGROPECUÁRIA</t>
  </si>
  <si>
    <t>AGROPEC.</t>
  </si>
  <si>
    <t>Receita Agropecuária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</si>
</sst>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0" fontId="3" fillId="0" borderId="2" xfId="0" applyFont="1" applyBorder="1"/>
    <xf numFmtId="44" fontId="3" fillId="0" borderId="7" xfId="1" applyNumberFormat="1" applyFont="1" applyBorder="1"/>
    <xf numFmtId="44" fontId="3" fillId="0" borderId="2" xfId="1" applyNumberFormat="1" applyFont="1" applyBorder="1"/>
    <xf numFmtId="44" fontId="3" fillId="0" borderId="8" xfId="1" applyNumberFormat="1" applyFont="1" applyBorder="1"/>
    <xf numFmtId="44" fontId="3" fillId="0" borderId="0" xfId="0" applyNumberFormat="1" applyFont="1"/>
    <xf numFmtId="44" fontId="4" fillId="0" borderId="7" xfId="1" applyNumberFormat="1" applyFont="1" applyBorder="1"/>
    <xf numFmtId="44" fontId="4" fillId="0" borderId="6" xfId="1" applyNumberFormat="1" applyFont="1" applyBorder="1"/>
    <xf numFmtId="0" fontId="4" fillId="0" borderId="6" xfId="0" applyFont="1" applyBorder="1"/>
    <xf numFmtId="0" fontId="4" fillId="0" borderId="7" xfId="0" applyFont="1" applyBorder="1"/>
    <xf numFmtId="43" fontId="0" fillId="0" borderId="0" xfId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1" xfId="1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43" fontId="0" fillId="0" borderId="13" xfId="1" applyFont="1" applyBorder="1"/>
    <xf numFmtId="0" fontId="0" fillId="0" borderId="14" xfId="0" applyBorder="1"/>
    <xf numFmtId="43" fontId="0" fillId="0" borderId="15" xfId="1" applyFont="1" applyBorder="1"/>
    <xf numFmtId="43" fontId="0" fillId="0" borderId="16" xfId="1" applyFont="1" applyBorder="1"/>
    <xf numFmtId="0" fontId="3" fillId="0" borderId="0" xfId="0" applyFont="1" applyBorder="1" applyAlignment="1">
      <alignment horizontal="center" vertical="center"/>
    </xf>
    <xf numFmtId="44" fontId="4" fillId="0" borderId="0" xfId="1" applyNumberFormat="1" applyFont="1" applyBorder="1"/>
    <xf numFmtId="44" fontId="3" fillId="0" borderId="0" xfId="1" applyNumberFormat="1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/>
    <xf numFmtId="43" fontId="0" fillId="0" borderId="0" xfId="0" applyNumberFormat="1"/>
    <xf numFmtId="0" fontId="5" fillId="0" borderId="0" xfId="0" applyFont="1" applyFill="1" applyBorder="1" applyAlignment="1">
      <alignment horizontal="center"/>
    </xf>
    <xf numFmtId="43" fontId="0" fillId="0" borderId="0" xfId="1" applyFont="1" applyBorder="1"/>
    <xf numFmtId="4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0</xdr:rowOff>
    </xdr:from>
    <xdr:to>
      <xdr:col>1</xdr:col>
      <xdr:colOff>1047750</xdr:colOff>
      <xdr:row>6</xdr:row>
      <xdr:rowOff>76200</xdr:rowOff>
    </xdr:to>
    <xdr:pic>
      <xdr:nvPicPr>
        <xdr:cNvPr id="2049" name="Imagem 2" descr="Logo JPG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0"/>
          <a:ext cx="1019175" cy="1028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04"/>
  <sheetViews>
    <sheetView topLeftCell="A31" workbookViewId="0">
      <selection activeCell="G44" sqref="G44"/>
    </sheetView>
  </sheetViews>
  <sheetFormatPr defaultRowHeight="15" x14ac:dyDescent="0.25"/>
  <cols>
    <col min="1" max="1" width="1.28515625" customWidth="1"/>
    <col min="2" max="2" width="33.7109375" customWidth="1"/>
    <col min="3" max="3" width="15.7109375" customWidth="1"/>
    <col min="4" max="4" width="16.140625" customWidth="1"/>
    <col min="5" max="6" width="15.7109375" customWidth="1"/>
    <col min="7" max="7" width="16.85546875" customWidth="1"/>
    <col min="8" max="8" width="3.7109375" customWidth="1"/>
    <col min="9" max="9" width="25.7109375" style="13" customWidth="1"/>
    <col min="10" max="10" width="16.140625" style="13" customWidth="1"/>
    <col min="11" max="12" width="12.7109375" customWidth="1"/>
    <col min="13" max="13" width="12.7109375" style="13" customWidth="1"/>
  </cols>
  <sheetData>
    <row r="2" spans="2:9" x14ac:dyDescent="0.25">
      <c r="B2" s="37" t="s">
        <v>0</v>
      </c>
      <c r="C2" s="37"/>
      <c r="D2" s="37"/>
      <c r="E2" s="37"/>
      <c r="F2" s="37"/>
      <c r="G2" s="37"/>
      <c r="H2" s="14"/>
    </row>
    <row r="4" spans="2:9" x14ac:dyDescent="0.25">
      <c r="B4" s="38" t="s">
        <v>1</v>
      </c>
      <c r="C4" s="38"/>
      <c r="D4" s="38"/>
      <c r="E4" s="38"/>
      <c r="F4" s="38"/>
      <c r="G4" s="38"/>
      <c r="H4" s="15"/>
    </row>
    <row r="6" spans="2:9" x14ac:dyDescent="0.25">
      <c r="B6" s="38" t="s">
        <v>84</v>
      </c>
      <c r="C6" s="38"/>
      <c r="D6" s="38"/>
      <c r="E6" s="38"/>
      <c r="F6" s="38"/>
      <c r="G6" s="38"/>
      <c r="H6" s="15"/>
    </row>
    <row r="8" spans="2:9" x14ac:dyDescent="0.25">
      <c r="B8" s="34" t="s">
        <v>2</v>
      </c>
      <c r="C8" s="35"/>
      <c r="D8" s="35"/>
      <c r="E8" s="35"/>
      <c r="F8" s="35"/>
      <c r="G8" s="36"/>
      <c r="H8" s="25"/>
    </row>
    <row r="9" spans="2:9" x14ac:dyDescent="0.25">
      <c r="B9" s="1" t="s">
        <v>3</v>
      </c>
      <c r="C9" s="1" t="s">
        <v>4</v>
      </c>
      <c r="D9" s="1" t="s">
        <v>17</v>
      </c>
      <c r="E9" s="1" t="s">
        <v>18</v>
      </c>
      <c r="F9" s="1" t="s">
        <v>19</v>
      </c>
      <c r="G9" s="1" t="s">
        <v>5</v>
      </c>
      <c r="H9" s="25"/>
    </row>
    <row r="10" spans="2:9" x14ac:dyDescent="0.25">
      <c r="B10" s="11" t="s">
        <v>7</v>
      </c>
      <c r="C10" s="10">
        <f>C11+C12</f>
        <v>16293095.76</v>
      </c>
      <c r="D10" s="10">
        <f>D11+D12</f>
        <v>15273089.139999999</v>
      </c>
      <c r="E10" s="10">
        <f>E11+E12</f>
        <v>0</v>
      </c>
      <c r="F10" s="10">
        <f>F11+F12</f>
        <v>0</v>
      </c>
      <c r="G10" s="10">
        <f>G11+G12</f>
        <v>31566184.899999999</v>
      </c>
      <c r="H10" s="26"/>
    </row>
    <row r="11" spans="2:9" x14ac:dyDescent="0.25">
      <c r="B11" s="2" t="s">
        <v>8</v>
      </c>
      <c r="C11" s="5">
        <f>C21</f>
        <v>16293095.76</v>
      </c>
      <c r="D11" s="5">
        <f>D21</f>
        <v>15273089.139999999</v>
      </c>
      <c r="E11" s="5">
        <f>E21</f>
        <v>0</v>
      </c>
      <c r="F11" s="5">
        <f>F21</f>
        <v>0</v>
      </c>
      <c r="G11" s="5">
        <f>C11+D11+E11+F11</f>
        <v>31566184.899999999</v>
      </c>
      <c r="H11" s="27"/>
    </row>
    <row r="12" spans="2:9" x14ac:dyDescent="0.25">
      <c r="B12" s="2" t="s">
        <v>9</v>
      </c>
      <c r="C12" s="5">
        <f>C28</f>
        <v>0</v>
      </c>
      <c r="D12" s="5">
        <f>D28</f>
        <v>0</v>
      </c>
      <c r="E12" s="5">
        <f>E28</f>
        <v>0</v>
      </c>
      <c r="F12" s="5">
        <f>F28</f>
        <v>0</v>
      </c>
      <c r="G12" s="5">
        <f>C12+D12+E12+F12</f>
        <v>0</v>
      </c>
      <c r="H12" s="27"/>
    </row>
    <row r="13" spans="2:9" x14ac:dyDescent="0.25">
      <c r="B13" s="4"/>
      <c r="C13" s="6"/>
      <c r="D13" s="6"/>
      <c r="E13" s="6"/>
      <c r="F13" s="6"/>
      <c r="G13" s="5"/>
      <c r="H13" s="27"/>
    </row>
    <row r="14" spans="2:9" x14ac:dyDescent="0.25">
      <c r="B14" s="12" t="s">
        <v>10</v>
      </c>
      <c r="C14" s="9">
        <f>C15+C16</f>
        <v>16485361</v>
      </c>
      <c r="D14" s="9">
        <f>D15+D16</f>
        <v>15031476.59</v>
      </c>
      <c r="E14" s="9">
        <f>E15+E16</f>
        <v>0</v>
      </c>
      <c r="F14" s="9">
        <f>F15+F16</f>
        <v>0</v>
      </c>
      <c r="G14" s="9">
        <f>G15+G16</f>
        <v>31516837.590000004</v>
      </c>
      <c r="H14" s="26"/>
      <c r="I14" s="33"/>
    </row>
    <row r="15" spans="2:9" x14ac:dyDescent="0.25">
      <c r="B15" s="2" t="s">
        <v>11</v>
      </c>
      <c r="C15" s="5">
        <f>C64+C87</f>
        <v>16247277.73</v>
      </c>
      <c r="D15" s="5">
        <f>D64+D87</f>
        <v>14989640.83</v>
      </c>
      <c r="E15" s="5">
        <f>E64+E87</f>
        <v>0</v>
      </c>
      <c r="F15" s="5">
        <f>F64+F87</f>
        <v>0</v>
      </c>
      <c r="G15" s="5">
        <f>C15+D15+E15+F15</f>
        <v>31236918.560000002</v>
      </c>
      <c r="H15" s="27"/>
      <c r="I15" s="33"/>
    </row>
    <row r="16" spans="2:9" x14ac:dyDescent="0.25">
      <c r="B16" s="3" t="s">
        <v>12</v>
      </c>
      <c r="C16" s="7">
        <f>C77+C99</f>
        <v>238083.27</v>
      </c>
      <c r="D16" s="7">
        <f>D77+D99</f>
        <v>41835.760000000038</v>
      </c>
      <c r="E16" s="7">
        <f>E77+E99</f>
        <v>0</v>
      </c>
      <c r="F16" s="7">
        <f>F77+F99</f>
        <v>0</v>
      </c>
      <c r="G16" s="7">
        <f>C16+D16+E16+F16</f>
        <v>279919.03000000003</v>
      </c>
      <c r="H16" s="27"/>
      <c r="I16" s="33"/>
    </row>
    <row r="18" spans="2:8" x14ac:dyDescent="0.25">
      <c r="B18" s="34" t="s">
        <v>6</v>
      </c>
      <c r="C18" s="35"/>
      <c r="D18" s="35"/>
      <c r="E18" s="35"/>
      <c r="F18" s="35"/>
      <c r="G18" s="36"/>
      <c r="H18" s="25"/>
    </row>
    <row r="19" spans="2:8" x14ac:dyDescent="0.25">
      <c r="B19" s="1" t="s">
        <v>3</v>
      </c>
      <c r="C19" s="1" t="s">
        <v>4</v>
      </c>
      <c r="D19" s="1" t="s">
        <v>17</v>
      </c>
      <c r="E19" s="1" t="s">
        <v>18</v>
      </c>
      <c r="F19" s="1" t="s">
        <v>19</v>
      </c>
      <c r="G19" s="1" t="s">
        <v>5</v>
      </c>
      <c r="H19" s="25"/>
    </row>
    <row r="20" spans="2:8" x14ac:dyDescent="0.25">
      <c r="B20" s="11" t="s">
        <v>7</v>
      </c>
      <c r="C20" s="10">
        <f>C21+C28</f>
        <v>16293095.76</v>
      </c>
      <c r="D20" s="10">
        <f>D21+D28</f>
        <v>15273089.139999999</v>
      </c>
      <c r="E20" s="10">
        <f>E21+E28</f>
        <v>0</v>
      </c>
      <c r="F20" s="10">
        <f>F21+F28</f>
        <v>0</v>
      </c>
      <c r="G20" s="10">
        <f>G21+G28</f>
        <v>31566184.900000002</v>
      </c>
      <c r="H20" s="26"/>
    </row>
    <row r="21" spans="2:8" x14ac:dyDescent="0.25">
      <c r="B21" s="2" t="s">
        <v>8</v>
      </c>
      <c r="C21" s="5">
        <f>C22+C23+C24+C25+C26</f>
        <v>16293095.76</v>
      </c>
      <c r="D21" s="5">
        <f>D22+D23+D24+D25+D26</f>
        <v>15273089.139999999</v>
      </c>
      <c r="E21" s="5">
        <f>E22+E23+E24+E25+E26</f>
        <v>0</v>
      </c>
      <c r="F21" s="5">
        <f>F22+F23+F24+F25+F26</f>
        <v>0</v>
      </c>
      <c r="G21" s="5">
        <f>G22+G23+G24+G25+G26</f>
        <v>31566184.900000002</v>
      </c>
      <c r="H21" s="27"/>
    </row>
    <row r="22" spans="2:8" x14ac:dyDescent="0.25">
      <c r="B22" s="2" t="s">
        <v>13</v>
      </c>
      <c r="C22" s="5">
        <v>0</v>
      </c>
      <c r="D22" s="5">
        <v>0</v>
      </c>
      <c r="E22" s="5">
        <v>0</v>
      </c>
      <c r="F22" s="5">
        <v>0</v>
      </c>
      <c r="G22" s="5">
        <f>C22+D22+E22+F22</f>
        <v>0</v>
      </c>
      <c r="H22" s="27"/>
    </row>
    <row r="23" spans="2:8" x14ac:dyDescent="0.25">
      <c r="B23" s="2" t="s">
        <v>14</v>
      </c>
      <c r="C23" s="5">
        <f>C44</f>
        <v>15706744.210000001</v>
      </c>
      <c r="D23" s="5">
        <f>D44</f>
        <v>14353427.779999999</v>
      </c>
      <c r="E23" s="5">
        <f>E44</f>
        <v>0</v>
      </c>
      <c r="F23" s="5">
        <f>F44</f>
        <v>0</v>
      </c>
      <c r="G23" s="5">
        <f>C23+D23+E23+F23</f>
        <v>30060171.990000002</v>
      </c>
      <c r="H23" s="27"/>
    </row>
    <row r="24" spans="2:8" x14ac:dyDescent="0.25">
      <c r="B24" s="2" t="s">
        <v>15</v>
      </c>
      <c r="C24" s="5">
        <v>0</v>
      </c>
      <c r="D24" s="5">
        <v>0</v>
      </c>
      <c r="E24" s="5">
        <v>0</v>
      </c>
      <c r="F24" s="5">
        <v>0</v>
      </c>
      <c r="G24" s="5">
        <f>C24+D24+E24+F24</f>
        <v>0</v>
      </c>
      <c r="H24" s="27"/>
    </row>
    <row r="25" spans="2:8" x14ac:dyDescent="0.25">
      <c r="B25" s="2" t="s">
        <v>16</v>
      </c>
      <c r="C25" s="5">
        <f>C45+C46</f>
        <v>287664.09999999998</v>
      </c>
      <c r="D25" s="5">
        <f>D45+D46</f>
        <v>626006.21</v>
      </c>
      <c r="E25" s="5">
        <f>E45+E46</f>
        <v>0</v>
      </c>
      <c r="F25" s="5">
        <f>F45+F46</f>
        <v>0</v>
      </c>
      <c r="G25" s="5">
        <f>C25+D25+E25+F25</f>
        <v>913670.30999999994</v>
      </c>
      <c r="H25" s="27"/>
    </row>
    <row r="26" spans="2:8" x14ac:dyDescent="0.25">
      <c r="B26" s="2" t="s">
        <v>50</v>
      </c>
      <c r="C26" s="5">
        <f>C38+C39+C40+C41+C42</f>
        <v>298687.44999999995</v>
      </c>
      <c r="D26" s="5">
        <f>D38+D39+D40+D41+D42</f>
        <v>293655.15000000002</v>
      </c>
      <c r="E26" s="5">
        <f>E38+E39+E40+E41+E42</f>
        <v>0</v>
      </c>
      <c r="F26" s="5">
        <f>F38+F39+F40+F41+F42</f>
        <v>0</v>
      </c>
      <c r="G26" s="5">
        <f>C26+D26+E26+F26</f>
        <v>592342.6</v>
      </c>
      <c r="H26" s="27"/>
    </row>
    <row r="27" spans="2:8" x14ac:dyDescent="0.25">
      <c r="B27" s="2"/>
      <c r="C27" s="5"/>
      <c r="D27" s="5"/>
      <c r="E27" s="5"/>
      <c r="F27" s="5"/>
      <c r="G27" s="5"/>
      <c r="H27" s="27"/>
    </row>
    <row r="28" spans="2:8" x14ac:dyDescent="0.25">
      <c r="B28" s="2" t="s">
        <v>9</v>
      </c>
      <c r="C28" s="5">
        <f>C29+C30+C31+C32</f>
        <v>0</v>
      </c>
      <c r="D28" s="5">
        <f>D29+D30+D31+D32</f>
        <v>0</v>
      </c>
      <c r="E28" s="5">
        <f>E29+E30+E31+E32</f>
        <v>0</v>
      </c>
      <c r="F28" s="5">
        <f>F29+F30+F31+F32</f>
        <v>0</v>
      </c>
      <c r="G28" s="5">
        <f>G29+G30+G31+G32</f>
        <v>0</v>
      </c>
      <c r="H28" s="27"/>
    </row>
    <row r="29" spans="2:8" x14ac:dyDescent="0.25">
      <c r="B29" s="2" t="s">
        <v>13</v>
      </c>
      <c r="C29" s="5">
        <v>0</v>
      </c>
      <c r="D29" s="5">
        <v>0</v>
      </c>
      <c r="E29" s="5">
        <v>0</v>
      </c>
      <c r="F29" s="5">
        <v>0</v>
      </c>
      <c r="G29" s="5">
        <f>C29+D29+E29+F29</f>
        <v>0</v>
      </c>
      <c r="H29" s="27"/>
    </row>
    <row r="30" spans="2:8" x14ac:dyDescent="0.25">
      <c r="B30" s="2" t="s">
        <v>14</v>
      </c>
      <c r="C30" s="5">
        <v>0</v>
      </c>
      <c r="D30" s="5">
        <f>D52</f>
        <v>0</v>
      </c>
      <c r="E30" s="5">
        <f>E52</f>
        <v>0</v>
      </c>
      <c r="F30" s="5">
        <f>F52</f>
        <v>0</v>
      </c>
      <c r="G30" s="5">
        <f>C30+D30+E30+F30</f>
        <v>0</v>
      </c>
      <c r="H30" s="27"/>
    </row>
    <row r="31" spans="2:8" x14ac:dyDescent="0.25">
      <c r="B31" s="2" t="s">
        <v>15</v>
      </c>
      <c r="C31" s="5">
        <v>0</v>
      </c>
      <c r="D31" s="5">
        <v>0</v>
      </c>
      <c r="E31" s="5">
        <v>0</v>
      </c>
      <c r="F31" s="5">
        <v>0</v>
      </c>
      <c r="G31" s="5">
        <f>C31+D31+E31+F31</f>
        <v>0</v>
      </c>
      <c r="H31" s="27"/>
    </row>
    <row r="32" spans="2:8" x14ac:dyDescent="0.25">
      <c r="B32" s="3" t="s">
        <v>16</v>
      </c>
      <c r="C32" s="7">
        <v>0</v>
      </c>
      <c r="D32" s="7">
        <v>0</v>
      </c>
      <c r="E32" s="7">
        <f>E53</f>
        <v>0</v>
      </c>
      <c r="F32" s="7">
        <f>F53</f>
        <v>0</v>
      </c>
      <c r="G32" s="7">
        <f>C32+D32+E32+F32</f>
        <v>0</v>
      </c>
      <c r="H32" s="27"/>
    </row>
    <row r="34" spans="2:8" x14ac:dyDescent="0.25">
      <c r="B34" s="34" t="s">
        <v>20</v>
      </c>
      <c r="C34" s="35"/>
      <c r="D34" s="35"/>
      <c r="E34" s="35"/>
      <c r="F34" s="35"/>
      <c r="G34" s="36"/>
      <c r="H34" s="25"/>
    </row>
    <row r="35" spans="2:8" x14ac:dyDescent="0.25">
      <c r="B35" s="1" t="s">
        <v>3</v>
      </c>
      <c r="C35" s="1" t="s">
        <v>4</v>
      </c>
      <c r="D35" s="1" t="s">
        <v>17</v>
      </c>
      <c r="E35" s="1" t="s">
        <v>18</v>
      </c>
      <c r="F35" s="1" t="s">
        <v>19</v>
      </c>
      <c r="G35" s="1" t="s">
        <v>5</v>
      </c>
      <c r="H35" s="25"/>
    </row>
    <row r="36" spans="2:8" x14ac:dyDescent="0.25">
      <c r="B36" s="11" t="s">
        <v>7</v>
      </c>
      <c r="C36" s="10">
        <f>C37+C48</f>
        <v>16293095.76</v>
      </c>
      <c r="D36" s="10">
        <f>D37+D48</f>
        <v>15273089.140000001</v>
      </c>
      <c r="E36" s="10">
        <f>E37+E48</f>
        <v>0</v>
      </c>
      <c r="F36" s="10">
        <f>F37+F48</f>
        <v>0</v>
      </c>
      <c r="G36" s="10">
        <f>G37+G48</f>
        <v>31566184.900000002</v>
      </c>
      <c r="H36" s="26"/>
    </row>
    <row r="37" spans="2:8" x14ac:dyDescent="0.25">
      <c r="B37" s="2" t="s">
        <v>8</v>
      </c>
      <c r="C37" s="5">
        <f>C38+C39+C40+C41+C42+C43+C46</f>
        <v>16293095.76</v>
      </c>
      <c r="D37" s="5">
        <f>D38+D39+D40+D41+D42+D43+D46</f>
        <v>15273089.140000001</v>
      </c>
      <c r="E37" s="5">
        <f>E38+E39+E40+E41+E42+E43+E46</f>
        <v>0</v>
      </c>
      <c r="F37" s="5">
        <f>F38+F39+F40+F41+F42+F43+F46</f>
        <v>0</v>
      </c>
      <c r="G37" s="5">
        <f>G38+G39+G40+G41+G42+G43+G46</f>
        <v>31566184.900000002</v>
      </c>
      <c r="H37" s="27"/>
    </row>
    <row r="38" spans="2:8" x14ac:dyDescent="0.25">
      <c r="B38" s="2" t="s">
        <v>21</v>
      </c>
      <c r="C38" s="5">
        <v>0</v>
      </c>
      <c r="D38" s="5">
        <v>0</v>
      </c>
      <c r="E38" s="5">
        <v>0</v>
      </c>
      <c r="F38" s="5">
        <v>0</v>
      </c>
      <c r="G38" s="5">
        <f>C38+D38+E38+F38</f>
        <v>0</v>
      </c>
      <c r="H38" s="27"/>
    </row>
    <row r="39" spans="2:8" x14ac:dyDescent="0.25">
      <c r="B39" s="2" t="s">
        <v>22</v>
      </c>
      <c r="C39" s="5">
        <f>Plan3!F3</f>
        <v>41954.05</v>
      </c>
      <c r="D39" s="5">
        <f>Plan3!F12</f>
        <v>47728.68</v>
      </c>
      <c r="E39" s="5">
        <f>Plan3!F21</f>
        <v>0</v>
      </c>
      <c r="F39" s="5">
        <f>Plan3!F29</f>
        <v>0</v>
      </c>
      <c r="G39" s="5">
        <f t="shared" ref="G39:G53" si="0">C39+D39+E39+F39</f>
        <v>89682.73000000001</v>
      </c>
      <c r="H39" s="27"/>
    </row>
    <row r="40" spans="2:8" x14ac:dyDescent="0.25">
      <c r="B40" s="2" t="s">
        <v>23</v>
      </c>
      <c r="C40" s="5">
        <f>Plan3!F5</f>
        <v>127098.18</v>
      </c>
      <c r="D40" s="5">
        <f>Plan3!F14</f>
        <v>68013.38</v>
      </c>
      <c r="E40" s="5">
        <v>0</v>
      </c>
      <c r="F40" s="5">
        <v>0</v>
      </c>
      <c r="G40" s="5">
        <f t="shared" si="0"/>
        <v>195111.56</v>
      </c>
      <c r="H40" s="27"/>
    </row>
    <row r="41" spans="2:8" x14ac:dyDescent="0.25">
      <c r="B41" s="2" t="s">
        <v>24</v>
      </c>
      <c r="C41" s="5">
        <v>0</v>
      </c>
      <c r="D41" s="5">
        <v>0</v>
      </c>
      <c r="E41" s="5">
        <v>0</v>
      </c>
      <c r="F41" s="5">
        <v>0</v>
      </c>
      <c r="G41" s="5">
        <f t="shared" si="0"/>
        <v>0</v>
      </c>
      <c r="H41" s="27"/>
    </row>
    <row r="42" spans="2:8" x14ac:dyDescent="0.25">
      <c r="B42" s="2" t="s">
        <v>25</v>
      </c>
      <c r="C42" s="5">
        <f>Plan3!F4</f>
        <v>129635.22</v>
      </c>
      <c r="D42" s="5">
        <f>Plan3!F13</f>
        <v>177913.09</v>
      </c>
      <c r="E42" s="5">
        <f>Plan3!F22</f>
        <v>0</v>
      </c>
      <c r="F42" s="5">
        <f>Plan3!F30</f>
        <v>0</v>
      </c>
      <c r="G42" s="5">
        <f t="shared" si="0"/>
        <v>307548.31</v>
      </c>
      <c r="H42" s="27"/>
    </row>
    <row r="43" spans="2:8" x14ac:dyDescent="0.25">
      <c r="B43" s="2" t="s">
        <v>26</v>
      </c>
      <c r="C43" s="5">
        <f>C44+C45</f>
        <v>15950013.040000001</v>
      </c>
      <c r="D43" s="5">
        <f>D44+D45</f>
        <v>14522065.699999999</v>
      </c>
      <c r="E43" s="5">
        <f>E44+E45</f>
        <v>0</v>
      </c>
      <c r="F43" s="5">
        <f>F44+F45</f>
        <v>0</v>
      </c>
      <c r="G43" s="5">
        <f t="shared" si="0"/>
        <v>30472078.740000002</v>
      </c>
      <c r="H43" s="27"/>
    </row>
    <row r="44" spans="2:8" x14ac:dyDescent="0.25">
      <c r="B44" s="2" t="s">
        <v>52</v>
      </c>
      <c r="C44" s="5">
        <f>C63</f>
        <v>15706744.210000001</v>
      </c>
      <c r="D44" s="5">
        <f>D63</f>
        <v>14353427.779999999</v>
      </c>
      <c r="E44" s="5">
        <f>E63</f>
        <v>0</v>
      </c>
      <c r="F44" s="5">
        <f>F63</f>
        <v>0</v>
      </c>
      <c r="G44" s="5">
        <f t="shared" si="0"/>
        <v>30060171.990000002</v>
      </c>
      <c r="H44" s="27"/>
    </row>
    <row r="45" spans="2:8" x14ac:dyDescent="0.25">
      <c r="B45" s="2" t="s">
        <v>51</v>
      </c>
      <c r="C45" s="5">
        <f>Plan3!F6</f>
        <v>243268.83</v>
      </c>
      <c r="D45" s="5">
        <f>Plan3!F15</f>
        <v>168637.91999999998</v>
      </c>
      <c r="E45" s="5">
        <f>Plan3!F23</f>
        <v>0</v>
      </c>
      <c r="F45" s="5">
        <f>Plan3!F31</f>
        <v>0</v>
      </c>
      <c r="G45" s="5">
        <f t="shared" si="0"/>
        <v>411906.75</v>
      </c>
      <c r="H45" s="27"/>
    </row>
    <row r="46" spans="2:8" x14ac:dyDescent="0.25">
      <c r="B46" s="2" t="s">
        <v>27</v>
      </c>
      <c r="C46" s="5">
        <f>Plan3!F7+Plan3!F8</f>
        <v>44395.270000000004</v>
      </c>
      <c r="D46" s="5">
        <f>Plan3!F16+Plan3!F17</f>
        <v>457368.29000000004</v>
      </c>
      <c r="E46" s="5">
        <f>Plan3!F25+Plan3!F24</f>
        <v>0</v>
      </c>
      <c r="F46" s="5">
        <f>Plan3!F32+Plan3!F33</f>
        <v>0</v>
      </c>
      <c r="G46" s="5">
        <f t="shared" si="0"/>
        <v>501763.56000000006</v>
      </c>
      <c r="H46" s="27"/>
    </row>
    <row r="47" spans="2:8" x14ac:dyDescent="0.25">
      <c r="B47" s="2"/>
      <c r="C47" s="5"/>
      <c r="D47" s="5"/>
      <c r="E47" s="5"/>
      <c r="F47" s="5"/>
      <c r="G47" s="5"/>
      <c r="H47" s="27"/>
    </row>
    <row r="48" spans="2:8" x14ac:dyDescent="0.25">
      <c r="B48" s="2" t="s">
        <v>9</v>
      </c>
      <c r="C48" s="5">
        <f>C49+C50+C51+C52+C53</f>
        <v>0</v>
      </c>
      <c r="D48" s="5">
        <f>D49+D50+D51+D52+D53</f>
        <v>0</v>
      </c>
      <c r="E48" s="5">
        <f>E49+E50+E51+E53</f>
        <v>0</v>
      </c>
      <c r="F48" s="5">
        <f>F49+F50+F51+F53</f>
        <v>0</v>
      </c>
      <c r="G48" s="5">
        <f t="shared" si="0"/>
        <v>0</v>
      </c>
      <c r="H48" s="27"/>
    </row>
    <row r="49" spans="2:8" x14ac:dyDescent="0.25">
      <c r="B49" s="2" t="s">
        <v>28</v>
      </c>
      <c r="C49" s="5">
        <v>0</v>
      </c>
      <c r="D49" s="5">
        <v>0</v>
      </c>
      <c r="E49" s="5">
        <v>0</v>
      </c>
      <c r="F49" s="5">
        <v>0</v>
      </c>
      <c r="G49" s="5">
        <f t="shared" si="0"/>
        <v>0</v>
      </c>
      <c r="H49" s="27"/>
    </row>
    <row r="50" spans="2:8" x14ac:dyDescent="0.25">
      <c r="B50" s="2" t="s">
        <v>29</v>
      </c>
      <c r="C50" s="5">
        <v>0</v>
      </c>
      <c r="D50" s="5">
        <v>0</v>
      </c>
      <c r="E50" s="5">
        <v>0</v>
      </c>
      <c r="F50" s="5">
        <v>0</v>
      </c>
      <c r="G50" s="5">
        <f t="shared" si="0"/>
        <v>0</v>
      </c>
      <c r="H50" s="27"/>
    </row>
    <row r="51" spans="2:8" x14ac:dyDescent="0.25">
      <c r="B51" s="2" t="s">
        <v>30</v>
      </c>
      <c r="C51" s="5">
        <v>0</v>
      </c>
      <c r="D51" s="5">
        <v>0</v>
      </c>
      <c r="E51" s="5">
        <v>0</v>
      </c>
      <c r="F51" s="5">
        <v>0</v>
      </c>
      <c r="G51" s="5">
        <f t="shared" si="0"/>
        <v>0</v>
      </c>
      <c r="H51" s="27"/>
    </row>
    <row r="52" spans="2:8" x14ac:dyDescent="0.25">
      <c r="B52" s="2" t="s">
        <v>31</v>
      </c>
      <c r="C52" s="5">
        <v>0</v>
      </c>
      <c r="D52" s="5">
        <f>D77</f>
        <v>0</v>
      </c>
      <c r="E52" s="5">
        <v>0</v>
      </c>
      <c r="F52" s="5">
        <v>0</v>
      </c>
      <c r="G52" s="5">
        <f t="shared" si="0"/>
        <v>0</v>
      </c>
      <c r="H52" s="27"/>
    </row>
    <row r="53" spans="2:8" x14ac:dyDescent="0.25">
      <c r="B53" s="3" t="s">
        <v>32</v>
      </c>
      <c r="C53" s="7">
        <v>0</v>
      </c>
      <c r="D53" s="7">
        <v>0</v>
      </c>
      <c r="E53" s="7">
        <v>0</v>
      </c>
      <c r="F53" s="7">
        <v>0</v>
      </c>
      <c r="G53" s="7">
        <f t="shared" si="0"/>
        <v>0</v>
      </c>
      <c r="H53" s="27"/>
    </row>
    <row r="61" spans="2:8" x14ac:dyDescent="0.25">
      <c r="B61" s="34" t="s">
        <v>33</v>
      </c>
      <c r="C61" s="35"/>
      <c r="D61" s="35"/>
      <c r="E61" s="35"/>
      <c r="F61" s="35"/>
      <c r="G61" s="36"/>
      <c r="H61" s="25"/>
    </row>
    <row r="62" spans="2:8" x14ac:dyDescent="0.25">
      <c r="B62" s="1" t="s">
        <v>3</v>
      </c>
      <c r="C62" s="1" t="s">
        <v>4</v>
      </c>
      <c r="D62" s="1" t="s">
        <v>17</v>
      </c>
      <c r="E62" s="1" t="s">
        <v>18</v>
      </c>
      <c r="F62" s="1" t="s">
        <v>19</v>
      </c>
      <c r="G62" s="1" t="s">
        <v>5</v>
      </c>
      <c r="H62" s="25"/>
    </row>
    <row r="63" spans="2:8" x14ac:dyDescent="0.25">
      <c r="B63" s="11" t="s">
        <v>10</v>
      </c>
      <c r="C63" s="10">
        <f>C64+C77</f>
        <v>15706744.210000001</v>
      </c>
      <c r="D63" s="10">
        <f>D64+D77</f>
        <v>14353427.779999999</v>
      </c>
      <c r="E63" s="10">
        <f>E64+E77</f>
        <v>0</v>
      </c>
      <c r="F63" s="10">
        <f>F64+F77</f>
        <v>0</v>
      </c>
      <c r="G63" s="10">
        <f>G64+G77</f>
        <v>30060171.989999998</v>
      </c>
      <c r="H63" s="26"/>
    </row>
    <row r="64" spans="2:8" x14ac:dyDescent="0.25">
      <c r="B64" s="2" t="s">
        <v>11</v>
      </c>
      <c r="C64" s="5">
        <f>C65+C70+C71</f>
        <v>15706744.210000001</v>
      </c>
      <c r="D64" s="5">
        <f>D65+D70+D71</f>
        <v>14353427.779999999</v>
      </c>
      <c r="E64" s="5">
        <f>E65+E70+E71</f>
        <v>0</v>
      </c>
      <c r="F64" s="5">
        <f>F65+F70+F71</f>
        <v>0</v>
      </c>
      <c r="G64" s="5">
        <f>G65+G70+G71</f>
        <v>30060171.989999998</v>
      </c>
      <c r="H64" s="27"/>
    </row>
    <row r="65" spans="2:8" x14ac:dyDescent="0.25">
      <c r="B65" s="2" t="s">
        <v>34</v>
      </c>
      <c r="C65" s="5">
        <f>C66+C67+C68+C69</f>
        <v>14285587.190000001</v>
      </c>
      <c r="D65" s="5">
        <f>D66+D67+D68+D69</f>
        <v>12837454.5</v>
      </c>
      <c r="E65" s="5">
        <f>E66+E67+E68+E69</f>
        <v>0</v>
      </c>
      <c r="F65" s="5">
        <f>F66+F67+F68+F69</f>
        <v>0</v>
      </c>
      <c r="G65" s="5">
        <f>G66+G67+G68+G69</f>
        <v>27123041.689999998</v>
      </c>
      <c r="H65" s="27"/>
    </row>
    <row r="66" spans="2:8" x14ac:dyDescent="0.25">
      <c r="B66" s="2" t="s">
        <v>35</v>
      </c>
      <c r="C66" s="5">
        <f>8.75+8850629.36</f>
        <v>8850638.1099999994</v>
      </c>
      <c r="D66" s="5">
        <f>(16665735.44+6386.77)-C66</f>
        <v>7821484.0999999996</v>
      </c>
      <c r="E66" s="5">
        <v>0</v>
      </c>
      <c r="F66" s="5">
        <v>0</v>
      </c>
      <c r="G66" s="5">
        <f>C66+D66+E66+F66</f>
        <v>16672122.209999999</v>
      </c>
      <c r="H66" s="27"/>
    </row>
    <row r="67" spans="2:8" x14ac:dyDescent="0.25">
      <c r="B67" s="2" t="s">
        <v>36</v>
      </c>
      <c r="C67" s="5">
        <f>854015.32</f>
        <v>854015.32</v>
      </c>
      <c r="D67" s="5">
        <f>1912569.16-C67</f>
        <v>1058553.8399999999</v>
      </c>
      <c r="E67" s="5">
        <v>0</v>
      </c>
      <c r="F67" s="5">
        <v>0</v>
      </c>
      <c r="G67" s="5">
        <f t="shared" ref="G67:G75" si="1">C67+D67+E67+F67</f>
        <v>1912569.1599999997</v>
      </c>
      <c r="H67" s="27"/>
    </row>
    <row r="68" spans="2:8" x14ac:dyDescent="0.25">
      <c r="B68" s="2" t="s">
        <v>71</v>
      </c>
      <c r="C68" s="5">
        <f>202941.82+819370.55</f>
        <v>1022312.3700000001</v>
      </c>
      <c r="D68" s="5">
        <f>(428053.39+1363981.97)-C68</f>
        <v>769722.98999999976</v>
      </c>
      <c r="E68" s="5">
        <v>0</v>
      </c>
      <c r="F68" s="5">
        <v>0</v>
      </c>
      <c r="G68" s="5">
        <f t="shared" si="1"/>
        <v>1792035.3599999999</v>
      </c>
      <c r="H68" s="27"/>
    </row>
    <row r="69" spans="2:8" x14ac:dyDescent="0.25">
      <c r="B69" s="2" t="s">
        <v>37</v>
      </c>
      <c r="C69" s="5">
        <v>3558621.39</v>
      </c>
      <c r="D69" s="5">
        <f>6746314.96-C69</f>
        <v>3187693.57</v>
      </c>
      <c r="E69" s="5">
        <v>0</v>
      </c>
      <c r="F69" s="5">
        <v>0</v>
      </c>
      <c r="G69" s="5">
        <f t="shared" si="1"/>
        <v>6746314.96</v>
      </c>
      <c r="H69" s="27"/>
    </row>
    <row r="70" spans="2:8" x14ac:dyDescent="0.25">
      <c r="B70" s="2" t="s">
        <v>38</v>
      </c>
      <c r="C70" s="5">
        <v>0</v>
      </c>
      <c r="D70" s="5">
        <v>0</v>
      </c>
      <c r="E70" s="5">
        <v>0</v>
      </c>
      <c r="F70" s="5">
        <v>0</v>
      </c>
      <c r="G70" s="5">
        <f t="shared" si="1"/>
        <v>0</v>
      </c>
      <c r="H70" s="27"/>
    </row>
    <row r="71" spans="2:8" x14ac:dyDescent="0.25">
      <c r="B71" s="2" t="s">
        <v>39</v>
      </c>
      <c r="C71" s="5">
        <f>C72+C73+C74+C75</f>
        <v>1421157.02</v>
      </c>
      <c r="D71" s="5">
        <f>D72+D73+D74+D75</f>
        <v>1515973.2799999998</v>
      </c>
      <c r="E71" s="5">
        <f>E72+E73+E74+E75</f>
        <v>0</v>
      </c>
      <c r="F71" s="5">
        <f>F72+F73+F74+F75</f>
        <v>0</v>
      </c>
      <c r="G71" s="5">
        <f>G72+G73+G74+G75</f>
        <v>2937130.3</v>
      </c>
      <c r="H71" s="27"/>
    </row>
    <row r="72" spans="2:8" x14ac:dyDescent="0.25">
      <c r="B72" s="2" t="s">
        <v>40</v>
      </c>
      <c r="C72" s="5">
        <v>113341.64</v>
      </c>
      <c r="D72" s="5">
        <f>245615.08-C72</f>
        <v>132273.44</v>
      </c>
      <c r="E72" s="5">
        <v>0</v>
      </c>
      <c r="F72" s="5">
        <v>0</v>
      </c>
      <c r="G72" s="5">
        <f t="shared" si="1"/>
        <v>245615.08000000002</v>
      </c>
      <c r="H72" s="27"/>
    </row>
    <row r="73" spans="2:8" x14ac:dyDescent="0.25">
      <c r="B73" s="2" t="s">
        <v>41</v>
      </c>
      <c r="C73" s="5">
        <v>6137.43</v>
      </c>
      <c r="D73" s="5">
        <f>37611.47-C73</f>
        <v>31474.04</v>
      </c>
      <c r="E73" s="5">
        <v>0</v>
      </c>
      <c r="F73" s="5">
        <v>0</v>
      </c>
      <c r="G73" s="5">
        <f t="shared" si="1"/>
        <v>37611.47</v>
      </c>
      <c r="H73" s="27"/>
    </row>
    <row r="74" spans="2:8" x14ac:dyDescent="0.25">
      <c r="B74" s="2" t="s">
        <v>42</v>
      </c>
      <c r="C74" s="8">
        <f>25514.55+455909.29+216786.11+281038.29</f>
        <v>979248.24</v>
      </c>
      <c r="D74" s="5">
        <f>(1293751.63+693070.92)-C74</f>
        <v>1007574.3099999998</v>
      </c>
      <c r="E74" s="5">
        <v>0</v>
      </c>
      <c r="F74" s="5">
        <v>0</v>
      </c>
      <c r="G74" s="5">
        <f t="shared" si="1"/>
        <v>1986822.5499999998</v>
      </c>
      <c r="H74" s="27"/>
    </row>
    <row r="75" spans="2:8" x14ac:dyDescent="0.25">
      <c r="B75" s="2" t="s">
        <v>49</v>
      </c>
      <c r="C75" s="5">
        <f>1495+1339+48848.85+7287.99+105214+158244.87</f>
        <v>322429.70999999996</v>
      </c>
      <c r="D75" s="5">
        <f>(181119.15+215489+270473.05)-C75</f>
        <v>344651.49</v>
      </c>
      <c r="E75" s="5">
        <v>0</v>
      </c>
      <c r="F75" s="5">
        <v>0</v>
      </c>
      <c r="G75" s="5">
        <f t="shared" si="1"/>
        <v>667081.19999999995</v>
      </c>
      <c r="H75" s="27"/>
    </row>
    <row r="76" spans="2:8" x14ac:dyDescent="0.25">
      <c r="B76" s="2"/>
      <c r="C76" s="5"/>
      <c r="D76" s="5"/>
      <c r="E76" s="5"/>
      <c r="F76" s="5"/>
      <c r="G76" s="5"/>
      <c r="H76" s="27"/>
    </row>
    <row r="77" spans="2:8" x14ac:dyDescent="0.25">
      <c r="B77" s="2" t="s">
        <v>12</v>
      </c>
      <c r="C77" s="5">
        <f>C78+C81+C82</f>
        <v>0</v>
      </c>
      <c r="D77" s="5">
        <f>D78+D81+D82</f>
        <v>0</v>
      </c>
      <c r="E77" s="5">
        <f>E78+E81+E82</f>
        <v>0</v>
      </c>
      <c r="F77" s="5">
        <f>F78+F81+F82</f>
        <v>0</v>
      </c>
      <c r="G77" s="5">
        <f>G78+G81+G82</f>
        <v>0</v>
      </c>
      <c r="H77" s="27"/>
    </row>
    <row r="78" spans="2:8" x14ac:dyDescent="0.25">
      <c r="B78" s="2" t="s">
        <v>43</v>
      </c>
      <c r="C78" s="5">
        <f>C79+C80</f>
        <v>0</v>
      </c>
      <c r="D78" s="5">
        <f>D79+D80</f>
        <v>0</v>
      </c>
      <c r="E78" s="5">
        <f>E79+E80</f>
        <v>0</v>
      </c>
      <c r="F78" s="5">
        <f>F79+F80</f>
        <v>0</v>
      </c>
      <c r="G78" s="5">
        <f>G79+G80</f>
        <v>0</v>
      </c>
      <c r="H78" s="27"/>
    </row>
    <row r="79" spans="2:8" x14ac:dyDescent="0.25">
      <c r="B79" s="2" t="s">
        <v>44</v>
      </c>
      <c r="C79" s="5">
        <v>0</v>
      </c>
      <c r="D79" s="5">
        <v>0</v>
      </c>
      <c r="E79" s="5">
        <v>0</v>
      </c>
      <c r="F79" s="5">
        <v>0</v>
      </c>
      <c r="G79" s="5">
        <f>C79+D79+E79+F79</f>
        <v>0</v>
      </c>
      <c r="H79" s="27"/>
    </row>
    <row r="80" spans="2:8" x14ac:dyDescent="0.25">
      <c r="B80" s="2" t="s">
        <v>45</v>
      </c>
      <c r="C80" s="5">
        <v>0</v>
      </c>
      <c r="D80" s="5">
        <v>0</v>
      </c>
      <c r="E80" s="5">
        <v>0</v>
      </c>
      <c r="F80" s="5">
        <v>0</v>
      </c>
      <c r="G80" s="5">
        <f>C80+D80+E80+F80</f>
        <v>0</v>
      </c>
      <c r="H80" s="27"/>
    </row>
    <row r="81" spans="2:8" x14ac:dyDescent="0.25">
      <c r="B81" s="2" t="s">
        <v>46</v>
      </c>
      <c r="C81" s="5">
        <v>0</v>
      </c>
      <c r="D81" s="5">
        <v>0</v>
      </c>
      <c r="E81" s="5">
        <v>0</v>
      </c>
      <c r="F81" s="5">
        <v>0</v>
      </c>
      <c r="G81" s="5">
        <f>C81+D81+E81+F81</f>
        <v>0</v>
      </c>
      <c r="H81" s="27"/>
    </row>
    <row r="82" spans="2:8" x14ac:dyDescent="0.25">
      <c r="B82" s="3" t="s">
        <v>47</v>
      </c>
      <c r="C82" s="7">
        <v>0</v>
      </c>
      <c r="D82" s="7">
        <v>0</v>
      </c>
      <c r="E82" s="7">
        <v>0</v>
      </c>
      <c r="F82" s="7">
        <v>0</v>
      </c>
      <c r="G82" s="7">
        <f>C82+D82+E82+F82</f>
        <v>0</v>
      </c>
      <c r="H82" s="27"/>
    </row>
    <row r="84" spans="2:8" x14ac:dyDescent="0.25">
      <c r="B84" s="34" t="s">
        <v>48</v>
      </c>
      <c r="C84" s="35"/>
      <c r="D84" s="35"/>
      <c r="E84" s="35"/>
      <c r="F84" s="35"/>
      <c r="G84" s="36"/>
      <c r="H84" s="25"/>
    </row>
    <row r="85" spans="2:8" x14ac:dyDescent="0.25">
      <c r="B85" s="1" t="s">
        <v>3</v>
      </c>
      <c r="C85" s="1" t="s">
        <v>4</v>
      </c>
      <c r="D85" s="1" t="s">
        <v>17</v>
      </c>
      <c r="E85" s="1" t="s">
        <v>18</v>
      </c>
      <c r="F85" s="1" t="s">
        <v>19</v>
      </c>
      <c r="G85" s="1" t="s">
        <v>5</v>
      </c>
      <c r="H85" s="25"/>
    </row>
    <row r="86" spans="2:8" x14ac:dyDescent="0.25">
      <c r="B86" s="11" t="s">
        <v>10</v>
      </c>
      <c r="C86" s="10">
        <f>C87+C99</f>
        <v>778616.79</v>
      </c>
      <c r="D86" s="10">
        <f>D87+D99</f>
        <v>678048.81</v>
      </c>
      <c r="E86" s="10">
        <f>E87+E99</f>
        <v>0</v>
      </c>
      <c r="F86" s="10">
        <f>F87+F99</f>
        <v>0</v>
      </c>
      <c r="G86" s="10">
        <f>G87+G99</f>
        <v>1456665.6000000001</v>
      </c>
      <c r="H86" s="26"/>
    </row>
    <row r="87" spans="2:8" x14ac:dyDescent="0.25">
      <c r="B87" s="2" t="s">
        <v>11</v>
      </c>
      <c r="C87" s="5">
        <f>C88+C92+C93</f>
        <v>540533.52</v>
      </c>
      <c r="D87" s="5">
        <f>D88+D92+D93</f>
        <v>636213.05000000005</v>
      </c>
      <c r="E87" s="5">
        <f>E88+E92+E93</f>
        <v>0</v>
      </c>
      <c r="F87" s="5">
        <f>F88+F92+F93</f>
        <v>0</v>
      </c>
      <c r="G87" s="5">
        <f>G88+G92+G93</f>
        <v>1176746.57</v>
      </c>
      <c r="H87" s="27"/>
    </row>
    <row r="88" spans="2:8" x14ac:dyDescent="0.25">
      <c r="B88" s="2" t="s">
        <v>34</v>
      </c>
      <c r="C88" s="5">
        <f>C89+C90+C91</f>
        <v>0</v>
      </c>
      <c r="D88" s="5">
        <f>D89+D90+D91</f>
        <v>0</v>
      </c>
      <c r="E88" s="5">
        <f>E89+E90+E91</f>
        <v>0</v>
      </c>
      <c r="F88" s="5">
        <f>F89+F90+F91</f>
        <v>0</v>
      </c>
      <c r="G88" s="5">
        <f>G89+G90+G91</f>
        <v>0</v>
      </c>
      <c r="H88" s="27"/>
    </row>
    <row r="89" spans="2:8" x14ac:dyDescent="0.25">
      <c r="B89" s="2" t="s">
        <v>35</v>
      </c>
      <c r="C89" s="5">
        <v>0</v>
      </c>
      <c r="D89" s="5">
        <v>0</v>
      </c>
      <c r="E89" s="5">
        <v>0</v>
      </c>
      <c r="F89" s="5">
        <v>0</v>
      </c>
      <c r="G89" s="5">
        <f>C89+D89+E89+F89</f>
        <v>0</v>
      </c>
      <c r="H89" s="27"/>
    </row>
    <row r="90" spans="2:8" x14ac:dyDescent="0.25">
      <c r="B90" s="2" t="s">
        <v>36</v>
      </c>
      <c r="C90" s="5">
        <v>0</v>
      </c>
      <c r="D90" s="5">
        <v>0</v>
      </c>
      <c r="E90" s="5">
        <v>0</v>
      </c>
      <c r="F90" s="5">
        <v>0</v>
      </c>
      <c r="G90" s="5">
        <f>C90+D90+E90+F90</f>
        <v>0</v>
      </c>
      <c r="H90" s="27"/>
    </row>
    <row r="91" spans="2:8" x14ac:dyDescent="0.25">
      <c r="B91" s="2" t="s">
        <v>37</v>
      </c>
      <c r="C91" s="5">
        <v>0</v>
      </c>
      <c r="D91" s="5">
        <v>0</v>
      </c>
      <c r="E91" s="5">
        <v>0</v>
      </c>
      <c r="F91" s="5">
        <v>0</v>
      </c>
      <c r="G91" s="5">
        <f>C91+D91+E91+F91</f>
        <v>0</v>
      </c>
      <c r="H91" s="27"/>
    </row>
    <row r="92" spans="2:8" x14ac:dyDescent="0.25">
      <c r="B92" s="2" t="s">
        <v>38</v>
      </c>
      <c r="C92" s="5">
        <v>0</v>
      </c>
      <c r="D92" s="5">
        <v>0</v>
      </c>
      <c r="E92" s="5">
        <v>0</v>
      </c>
      <c r="F92" s="5">
        <v>0</v>
      </c>
      <c r="G92" s="5">
        <f>C92+D92+E92+F92</f>
        <v>0</v>
      </c>
      <c r="H92" s="27"/>
    </row>
    <row r="93" spans="2:8" x14ac:dyDescent="0.25">
      <c r="B93" s="2" t="s">
        <v>39</v>
      </c>
      <c r="C93" s="5">
        <f>C94+C95+C96+C97</f>
        <v>540533.52</v>
      </c>
      <c r="D93" s="5">
        <f>D94+D95+D96+D97</f>
        <v>636213.05000000005</v>
      </c>
      <c r="E93" s="5">
        <f>E94+E95+E96+E97</f>
        <v>0</v>
      </c>
      <c r="F93" s="5">
        <f>F94+F95+F96+F97</f>
        <v>0</v>
      </c>
      <c r="G93" s="5">
        <f>G94+G95+G96+G97</f>
        <v>1176746.57</v>
      </c>
      <c r="H93" s="27"/>
    </row>
    <row r="94" spans="2:8" x14ac:dyDescent="0.25">
      <c r="B94" s="2" t="s">
        <v>40</v>
      </c>
      <c r="C94" s="5">
        <f>35739.28+7035.4+20396.15</f>
        <v>63170.83</v>
      </c>
      <c r="D94" s="5">
        <f>(131884.61+14601.29+23922.73)-C94</f>
        <v>107237.8</v>
      </c>
      <c r="E94" s="5">
        <v>0</v>
      </c>
      <c r="F94" s="5">
        <v>0</v>
      </c>
      <c r="G94" s="5">
        <f>C94+D94+E94+F94</f>
        <v>170408.63</v>
      </c>
      <c r="H94" s="27"/>
    </row>
    <row r="95" spans="2:8" x14ac:dyDescent="0.25">
      <c r="B95" s="2" t="s">
        <v>41</v>
      </c>
      <c r="C95" s="5">
        <f>157.31+143+2603.19</f>
        <v>2903.5</v>
      </c>
      <c r="D95" s="5">
        <f>(208.71+143+6126.35)-C95</f>
        <v>3574.5600000000004</v>
      </c>
      <c r="E95" s="5">
        <v>0</v>
      </c>
      <c r="F95" s="5">
        <v>0</v>
      </c>
      <c r="G95" s="5">
        <f>C95+D95+E95+F95</f>
        <v>6478.06</v>
      </c>
      <c r="H95" s="27"/>
    </row>
    <row r="96" spans="2:8" x14ac:dyDescent="0.25">
      <c r="B96" s="2" t="s">
        <v>42</v>
      </c>
      <c r="C96" s="5">
        <f>79531.8+31602.98+19249.57</f>
        <v>130384.35</v>
      </c>
      <c r="D96" s="5">
        <f>(106053.8+14515.8+125471.27+13300+26849.37)-C96</f>
        <v>155805.88999999998</v>
      </c>
      <c r="E96" s="5">
        <v>0</v>
      </c>
      <c r="F96" s="5">
        <v>0</v>
      </c>
      <c r="G96" s="5">
        <f>C96+D96+E96+F96</f>
        <v>286190.24</v>
      </c>
      <c r="H96" s="27"/>
    </row>
    <row r="97" spans="2:8" x14ac:dyDescent="0.25">
      <c r="B97" s="2" t="s">
        <v>49</v>
      </c>
      <c r="C97" s="5">
        <f>5006+17290+3237.1+4744.28+66000+190+7437.5+216566+8150.2+15453.76</f>
        <v>344074.84</v>
      </c>
      <c r="D97" s="5">
        <f>(38119.95+59229.88+507999.56+69752.27+4800+33767.98)-C97</f>
        <v>369594.8</v>
      </c>
      <c r="E97" s="5">
        <v>0</v>
      </c>
      <c r="F97" s="5">
        <v>0</v>
      </c>
      <c r="G97" s="5">
        <f>C97+D97+E97+F97</f>
        <v>713669.64</v>
      </c>
      <c r="H97" s="27"/>
    </row>
    <row r="98" spans="2:8" x14ac:dyDescent="0.25">
      <c r="B98" s="2"/>
      <c r="C98" s="5"/>
      <c r="D98" s="5"/>
      <c r="E98" s="5"/>
      <c r="F98" s="5"/>
      <c r="G98" s="5"/>
      <c r="H98" s="27"/>
    </row>
    <row r="99" spans="2:8" x14ac:dyDescent="0.25">
      <c r="B99" s="2" t="s">
        <v>12</v>
      </c>
      <c r="C99" s="5">
        <f>C100+C103+C104</f>
        <v>238083.27</v>
      </c>
      <c r="D99" s="5">
        <f>D100+D103+D104</f>
        <v>41835.760000000038</v>
      </c>
      <c r="E99" s="5">
        <f>E100+E103+E104</f>
        <v>0</v>
      </c>
      <c r="F99" s="5">
        <f>F100+F103+F104</f>
        <v>0</v>
      </c>
      <c r="G99" s="5">
        <f>G100+G103+G104</f>
        <v>279919.03000000003</v>
      </c>
      <c r="H99" s="27"/>
    </row>
    <row r="100" spans="2:8" x14ac:dyDescent="0.25">
      <c r="B100" s="2" t="s">
        <v>43</v>
      </c>
      <c r="C100" s="5">
        <f>C101+C102</f>
        <v>238083.27</v>
      </c>
      <c r="D100" s="5">
        <f>D101+D102</f>
        <v>41835.760000000038</v>
      </c>
      <c r="E100" s="5">
        <f>E101+E102</f>
        <v>0</v>
      </c>
      <c r="F100" s="5">
        <f>F101+F102</f>
        <v>0</v>
      </c>
      <c r="G100" s="5">
        <f>G101+G102</f>
        <v>279919.03000000003</v>
      </c>
      <c r="H100" s="27"/>
    </row>
    <row r="101" spans="2:8" x14ac:dyDescent="0.25">
      <c r="B101" s="2" t="s">
        <v>44</v>
      </c>
      <c r="C101" s="5">
        <v>0</v>
      </c>
      <c r="D101" s="5">
        <v>0</v>
      </c>
      <c r="E101" s="5">
        <v>0</v>
      </c>
      <c r="F101" s="5">
        <v>0</v>
      </c>
      <c r="G101" s="5">
        <f>C101+D101+E101+F101</f>
        <v>0</v>
      </c>
      <c r="H101" s="27"/>
    </row>
    <row r="102" spans="2:8" x14ac:dyDescent="0.25">
      <c r="B102" s="2" t="s">
        <v>45</v>
      </c>
      <c r="C102" s="5">
        <f>12863.65+94087.44+131132.18</f>
        <v>238083.27</v>
      </c>
      <c r="D102" s="5">
        <f>(42903+94813.44+142202.59)-C102</f>
        <v>41835.760000000038</v>
      </c>
      <c r="E102" s="5">
        <v>0</v>
      </c>
      <c r="F102" s="5">
        <v>0</v>
      </c>
      <c r="G102" s="5">
        <f>C102+D102+E102+F102</f>
        <v>279919.03000000003</v>
      </c>
      <c r="H102" s="27"/>
    </row>
    <row r="103" spans="2:8" x14ac:dyDescent="0.25">
      <c r="B103" s="2" t="s">
        <v>46</v>
      </c>
      <c r="C103" s="5">
        <v>0</v>
      </c>
      <c r="D103" s="5">
        <v>0</v>
      </c>
      <c r="E103" s="5">
        <v>0</v>
      </c>
      <c r="F103" s="5">
        <v>0</v>
      </c>
      <c r="G103" s="5">
        <f>C103+D103+E103+F103</f>
        <v>0</v>
      </c>
      <c r="H103" s="27"/>
    </row>
    <row r="104" spans="2:8" x14ac:dyDescent="0.25">
      <c r="B104" s="3" t="s">
        <v>47</v>
      </c>
      <c r="C104" s="7">
        <v>0</v>
      </c>
      <c r="D104" s="7">
        <v>0</v>
      </c>
      <c r="E104" s="7">
        <v>0</v>
      </c>
      <c r="F104" s="7">
        <v>0</v>
      </c>
      <c r="G104" s="7">
        <f>C104+D104+E104+F104</f>
        <v>0</v>
      </c>
      <c r="H104" s="27"/>
    </row>
  </sheetData>
  <mergeCells count="8">
    <mergeCell ref="B61:G61"/>
    <mergeCell ref="B84:G84"/>
    <mergeCell ref="B2:G2"/>
    <mergeCell ref="B4:G4"/>
    <mergeCell ref="B6:G6"/>
    <mergeCell ref="B8:G8"/>
    <mergeCell ref="B18:G18"/>
    <mergeCell ref="B34:G34"/>
  </mergeCells>
  <pageMargins left="0.31496062992125984" right="0.11811023622047245" top="0.78740157480314965" bottom="0.78740157480314965" header="0.31496062992125984" footer="0.31496062992125984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8"/>
  <sheetViews>
    <sheetView tabSelected="1" zoomScale="80" zoomScaleNormal="80" workbookViewId="0">
      <selection activeCell="C48" sqref="C48"/>
    </sheetView>
  </sheetViews>
  <sheetFormatPr defaultRowHeight="15" x14ac:dyDescent="0.25"/>
  <cols>
    <col min="1" max="1" width="2.42578125" customWidth="1"/>
    <col min="2" max="2" width="47.140625" customWidth="1"/>
    <col min="3" max="6" width="15.7109375" customWidth="1"/>
    <col min="7" max="7" width="4.28515625" customWidth="1"/>
    <col min="8" max="8" width="21" customWidth="1"/>
    <col min="9" max="15" width="15.7109375" customWidth="1"/>
  </cols>
  <sheetData>
    <row r="1" spans="2:15" ht="9.9499999999999993" customHeight="1" thickBot="1" x14ac:dyDescent="0.3"/>
    <row r="2" spans="2:15" x14ac:dyDescent="0.25">
      <c r="B2" s="17" t="s">
        <v>57</v>
      </c>
      <c r="C2" s="18" t="s">
        <v>65</v>
      </c>
      <c r="D2" s="18" t="s">
        <v>66</v>
      </c>
      <c r="E2" s="18" t="s">
        <v>67</v>
      </c>
      <c r="F2" s="19" t="s">
        <v>56</v>
      </c>
      <c r="H2" s="31" t="s">
        <v>72</v>
      </c>
      <c r="I2" s="28" t="s">
        <v>73</v>
      </c>
      <c r="J2" s="28" t="s">
        <v>74</v>
      </c>
      <c r="K2" s="28" t="s">
        <v>85</v>
      </c>
      <c r="L2" s="28" t="s">
        <v>76</v>
      </c>
      <c r="M2" s="28" t="s">
        <v>77</v>
      </c>
      <c r="N2" s="28" t="s">
        <v>75</v>
      </c>
      <c r="O2" s="28" t="s">
        <v>56</v>
      </c>
    </row>
    <row r="3" spans="2:15" x14ac:dyDescent="0.25">
      <c r="B3" s="20" t="s">
        <v>61</v>
      </c>
      <c r="C3" s="16">
        <f>I3+I19+I35+I51</f>
        <v>15853.95</v>
      </c>
      <c r="D3" s="16">
        <f>I4+I20+I36+I52</f>
        <v>11511.279999999999</v>
      </c>
      <c r="E3" s="16">
        <f>I5+I21+I37+I53</f>
        <v>14588.82</v>
      </c>
      <c r="F3" s="21">
        <f t="shared" ref="F3:F8" si="0">SUM(C3:E3)</f>
        <v>41954.05</v>
      </c>
      <c r="H3" s="29" t="s">
        <v>65</v>
      </c>
      <c r="I3" s="13">
        <v>8618.4</v>
      </c>
      <c r="J3" s="13">
        <v>18600</v>
      </c>
      <c r="K3" s="13">
        <v>0</v>
      </c>
      <c r="L3" s="13">
        <v>4959.7700000000004</v>
      </c>
      <c r="M3" s="13">
        <v>0</v>
      </c>
      <c r="N3" s="13">
        <f>29067.13+4691.94</f>
        <v>33759.07</v>
      </c>
      <c r="O3" s="30">
        <f t="shared" ref="O3:O14" si="1">SUM(I3:N3)</f>
        <v>65937.240000000005</v>
      </c>
    </row>
    <row r="4" spans="2:15" x14ac:dyDescent="0.25">
      <c r="B4" s="20" t="s">
        <v>58</v>
      </c>
      <c r="C4" s="16">
        <f>J3+J19+J35+J51</f>
        <v>44557.440000000002</v>
      </c>
      <c r="D4" s="16">
        <f>J4+J20+J36+J52</f>
        <v>38072.43</v>
      </c>
      <c r="E4" s="16">
        <f>J5+J21+J37+J53</f>
        <v>47005.35</v>
      </c>
      <c r="F4" s="21">
        <f t="shared" si="0"/>
        <v>129635.22</v>
      </c>
      <c r="H4" s="29" t="s">
        <v>66</v>
      </c>
      <c r="I4" s="13">
        <v>5888.36</v>
      </c>
      <c r="J4" s="13">
        <v>2801</v>
      </c>
      <c r="K4" s="13">
        <v>0</v>
      </c>
      <c r="L4" s="13">
        <f>155800+4375.78</f>
        <v>160175.78</v>
      </c>
      <c r="M4" s="13">
        <v>0</v>
      </c>
      <c r="N4" s="13">
        <v>4157.6000000000004</v>
      </c>
      <c r="O4" s="30">
        <f t="shared" si="1"/>
        <v>173022.74000000002</v>
      </c>
    </row>
    <row r="5" spans="2:15" x14ac:dyDescent="0.25">
      <c r="B5" s="20" t="s">
        <v>87</v>
      </c>
      <c r="C5" s="16">
        <f>K3+K19+K35+K51</f>
        <v>581.63</v>
      </c>
      <c r="D5" s="16">
        <f>K4+K20+K36+K52</f>
        <v>13798.18</v>
      </c>
      <c r="E5" s="16">
        <f>K5+K21+K37+K53</f>
        <v>112718.37</v>
      </c>
      <c r="F5" s="21">
        <f t="shared" si="0"/>
        <v>127098.18</v>
      </c>
      <c r="H5" s="29" t="s">
        <v>67</v>
      </c>
      <c r="I5" s="13">
        <v>7708.05</v>
      </c>
      <c r="J5" s="13">
        <v>3440</v>
      </c>
      <c r="K5" s="13">
        <v>0</v>
      </c>
      <c r="L5" s="13">
        <f>5598.49+72200</f>
        <v>77798.490000000005</v>
      </c>
      <c r="M5" s="13">
        <v>0</v>
      </c>
      <c r="N5" s="13">
        <f>5220.5</f>
        <v>5220.5</v>
      </c>
      <c r="O5" s="30">
        <f t="shared" si="1"/>
        <v>94167.040000000008</v>
      </c>
    </row>
    <row r="6" spans="2:15" x14ac:dyDescent="0.25">
      <c r="B6" s="20" t="s">
        <v>59</v>
      </c>
      <c r="C6" s="16">
        <f>L3+L19+L35+L51</f>
        <v>5140.71</v>
      </c>
      <c r="D6" s="16">
        <f>L4+L20+L36+L52</f>
        <v>160251.09</v>
      </c>
      <c r="E6" s="16">
        <f>L5+L21+L37+L53</f>
        <v>77877.03</v>
      </c>
      <c r="F6" s="21">
        <f t="shared" si="0"/>
        <v>243268.83</v>
      </c>
      <c r="H6" s="29" t="s">
        <v>53</v>
      </c>
      <c r="I6" s="13">
        <v>9990.42</v>
      </c>
      <c r="J6" s="13">
        <v>0</v>
      </c>
      <c r="K6" s="13">
        <v>0</v>
      </c>
      <c r="L6" s="13">
        <f>16800+7018.49</f>
        <v>23818.489999999998</v>
      </c>
      <c r="M6" s="13">
        <v>0</v>
      </c>
      <c r="N6" s="13">
        <f>434152+2535.52</f>
        <v>436687.52</v>
      </c>
      <c r="O6" s="30">
        <f t="shared" si="1"/>
        <v>470496.43</v>
      </c>
    </row>
    <row r="7" spans="2:15" x14ac:dyDescent="0.25">
      <c r="B7" s="20" t="s">
        <v>60</v>
      </c>
      <c r="C7" s="16">
        <f>N3+N19+N35+N51</f>
        <v>33806.35</v>
      </c>
      <c r="D7" s="16">
        <f>N4+N20+N36+N52</f>
        <v>4715.4500000000007</v>
      </c>
      <c r="E7" s="16">
        <f>N5+N21+N37+N53</f>
        <v>5873.47</v>
      </c>
      <c r="F7" s="21">
        <f t="shared" si="0"/>
        <v>44395.270000000004</v>
      </c>
      <c r="H7" s="29" t="s">
        <v>54</v>
      </c>
      <c r="I7" s="13">
        <v>9952.7800000000007</v>
      </c>
      <c r="J7" s="13">
        <v>0</v>
      </c>
      <c r="K7" s="13">
        <v>0</v>
      </c>
      <c r="L7" s="13">
        <f>2128.6+3100</f>
        <v>5228.6000000000004</v>
      </c>
      <c r="M7" s="13">
        <v>0</v>
      </c>
      <c r="N7" s="13">
        <f>45298.25-34152</f>
        <v>11146.25</v>
      </c>
      <c r="O7" s="30">
        <f t="shared" si="1"/>
        <v>26327.63</v>
      </c>
    </row>
    <row r="8" spans="2:15" x14ac:dyDescent="0.25">
      <c r="B8" s="20" t="s">
        <v>78</v>
      </c>
      <c r="C8" s="16">
        <f>M3+M19+M35+M51</f>
        <v>0</v>
      </c>
      <c r="D8" s="16">
        <f>M4+M20+M36+M52</f>
        <v>0</v>
      </c>
      <c r="E8" s="16">
        <f>M5+M21+M37+M53</f>
        <v>0</v>
      </c>
      <c r="F8" s="21">
        <f t="shared" si="0"/>
        <v>0</v>
      </c>
      <c r="H8" s="29" t="s">
        <v>55</v>
      </c>
      <c r="I8" s="13">
        <v>9958.51</v>
      </c>
      <c r="J8" s="13">
        <v>71000</v>
      </c>
      <c r="K8" s="13"/>
      <c r="L8" s="13">
        <f>4490.86+135090</f>
        <v>139580.85999999999</v>
      </c>
      <c r="M8" s="13">
        <v>0</v>
      </c>
      <c r="N8" s="13">
        <f>7656.42</f>
        <v>7656.42</v>
      </c>
      <c r="O8" s="30">
        <f t="shared" si="1"/>
        <v>228195.79</v>
      </c>
    </row>
    <row r="9" spans="2:15" ht="15" customHeight="1" thickBot="1" x14ac:dyDescent="0.3">
      <c r="B9" s="22" t="s">
        <v>56</v>
      </c>
      <c r="C9" s="23">
        <f>SUM(C3:C8)</f>
        <v>99940.079999999987</v>
      </c>
      <c r="D9" s="23">
        <f>SUM(D3:D8)</f>
        <v>228348.43</v>
      </c>
      <c r="E9" s="23">
        <f>SUM(E3:E8)</f>
        <v>258063.03999999998</v>
      </c>
      <c r="F9" s="24">
        <f>SUM(F3:F8)</f>
        <v>586351.55000000005</v>
      </c>
      <c r="H9" s="29" t="s">
        <v>62</v>
      </c>
      <c r="I9" s="13">
        <v>0</v>
      </c>
      <c r="J9" s="13">
        <v>0</v>
      </c>
      <c r="K9" s="13"/>
      <c r="L9" s="13"/>
      <c r="M9" s="13">
        <v>0</v>
      </c>
      <c r="N9" s="13">
        <v>0</v>
      </c>
      <c r="O9" s="30">
        <f t="shared" si="1"/>
        <v>0</v>
      </c>
    </row>
    <row r="10" spans="2:15" ht="15.75" thickBot="1" x14ac:dyDescent="0.3">
      <c r="H10" s="29" t="s">
        <v>63</v>
      </c>
      <c r="I10" s="13">
        <v>0</v>
      </c>
      <c r="J10" s="13">
        <v>0</v>
      </c>
      <c r="K10" s="13"/>
      <c r="L10" s="13"/>
      <c r="M10" s="13">
        <v>0</v>
      </c>
      <c r="N10" s="13">
        <v>0</v>
      </c>
      <c r="O10" s="30">
        <f t="shared" si="1"/>
        <v>0</v>
      </c>
    </row>
    <row r="11" spans="2:15" x14ac:dyDescent="0.25">
      <c r="B11" s="17" t="s">
        <v>57</v>
      </c>
      <c r="C11" s="18" t="s">
        <v>53</v>
      </c>
      <c r="D11" s="18" t="s">
        <v>54</v>
      </c>
      <c r="E11" s="18" t="s">
        <v>55</v>
      </c>
      <c r="F11" s="19" t="s">
        <v>56</v>
      </c>
      <c r="H11" s="29" t="s">
        <v>64</v>
      </c>
      <c r="I11" s="13">
        <v>0</v>
      </c>
      <c r="J11" s="13">
        <v>0</v>
      </c>
      <c r="K11" s="13"/>
      <c r="L11" s="13"/>
      <c r="M11" s="13">
        <v>0</v>
      </c>
      <c r="N11" s="13"/>
      <c r="O11" s="30">
        <f t="shared" si="1"/>
        <v>0</v>
      </c>
    </row>
    <row r="12" spans="2:15" x14ac:dyDescent="0.25">
      <c r="B12" s="20" t="s">
        <v>61</v>
      </c>
      <c r="C12" s="16">
        <f>I6+I22+I38+I54</f>
        <v>17449.96</v>
      </c>
      <c r="D12" s="16">
        <f>I7+I23+I39+I55</f>
        <v>16117.01</v>
      </c>
      <c r="E12" s="16">
        <f>I8+I24+I40+I56</f>
        <v>14161.71</v>
      </c>
      <c r="F12" s="21">
        <f>SUM(C12:E12)</f>
        <v>47728.68</v>
      </c>
      <c r="H12" s="29" t="s">
        <v>70</v>
      </c>
      <c r="I12" s="13">
        <v>0</v>
      </c>
      <c r="J12" s="13">
        <v>0</v>
      </c>
      <c r="K12" s="13"/>
      <c r="L12" s="13"/>
      <c r="M12" s="13">
        <v>0</v>
      </c>
      <c r="N12" s="13"/>
      <c r="O12" s="30">
        <f t="shared" si="1"/>
        <v>0</v>
      </c>
    </row>
    <row r="13" spans="2:15" x14ac:dyDescent="0.25">
      <c r="B13" s="20" t="s">
        <v>58</v>
      </c>
      <c r="C13" s="16">
        <f>J6+J22+J38+J54</f>
        <v>36019.15</v>
      </c>
      <c r="D13" s="16">
        <f>J7+J23+J39+J55</f>
        <v>64835.29</v>
      </c>
      <c r="E13" s="16">
        <f>J8+J24+J40+J56</f>
        <v>77058.649999999994</v>
      </c>
      <c r="F13" s="21">
        <f>SUM(C13:E13)</f>
        <v>177913.09</v>
      </c>
      <c r="H13" s="29" t="s">
        <v>69</v>
      </c>
      <c r="I13" s="13">
        <v>0</v>
      </c>
      <c r="J13" s="13">
        <v>0</v>
      </c>
      <c r="K13" s="13"/>
      <c r="L13" s="13"/>
      <c r="M13" s="13">
        <v>0</v>
      </c>
      <c r="N13" s="13">
        <v>0</v>
      </c>
      <c r="O13" s="30">
        <f t="shared" si="1"/>
        <v>0</v>
      </c>
    </row>
    <row r="14" spans="2:15" x14ac:dyDescent="0.25">
      <c r="B14" s="20" t="s">
        <v>87</v>
      </c>
      <c r="C14" s="16">
        <f>K6+K22+K38+K54</f>
        <v>11271.86</v>
      </c>
      <c r="D14" s="16">
        <f>K7+K23+K39+K55</f>
        <v>21803.57</v>
      </c>
      <c r="E14" s="16">
        <f>K8+K24+K40+K56</f>
        <v>34937.949999999997</v>
      </c>
      <c r="F14" s="21">
        <f>SUM(C14:E14)</f>
        <v>68013.38</v>
      </c>
      <c r="H14" s="29" t="s">
        <v>68</v>
      </c>
      <c r="I14" s="13">
        <v>0</v>
      </c>
      <c r="J14" s="13">
        <v>0</v>
      </c>
      <c r="K14" s="13"/>
      <c r="L14" s="13">
        <v>0</v>
      </c>
      <c r="M14" s="13">
        <v>0</v>
      </c>
      <c r="N14" s="13">
        <v>0</v>
      </c>
      <c r="O14" s="30">
        <f t="shared" si="1"/>
        <v>0</v>
      </c>
    </row>
    <row r="15" spans="2:15" x14ac:dyDescent="0.25">
      <c r="B15" s="20" t="s">
        <v>59</v>
      </c>
      <c r="C15" s="16">
        <f>L6+L22+L38+L54</f>
        <v>23828.46</v>
      </c>
      <c r="D15" s="16">
        <f>L7+L23+L39+L55</f>
        <v>5228.6000000000004</v>
      </c>
      <c r="E15" s="16">
        <f>L8+L24+L40+L56</f>
        <v>139580.85999999999</v>
      </c>
      <c r="F15" s="21">
        <f>SUM(C15:E15)</f>
        <v>168637.91999999998</v>
      </c>
      <c r="I15" s="13"/>
      <c r="J15" s="13"/>
      <c r="K15" s="13"/>
      <c r="L15" s="13"/>
      <c r="M15" s="13"/>
      <c r="N15" s="13"/>
      <c r="O15" s="30"/>
    </row>
    <row r="16" spans="2:15" ht="15.75" customHeight="1" x14ac:dyDescent="0.25">
      <c r="B16" s="20" t="s">
        <v>60</v>
      </c>
      <c r="C16" s="16">
        <f>N6+N22+N38+N54</f>
        <v>437291.82</v>
      </c>
      <c r="D16" s="16">
        <f>N7+N23+N39+N55</f>
        <v>11793.14</v>
      </c>
      <c r="E16" s="16">
        <f>N8+N24+N56</f>
        <v>8283.33</v>
      </c>
      <c r="F16" s="21">
        <f>SUM(C16:E16)</f>
        <v>457368.29000000004</v>
      </c>
      <c r="H16" s="29" t="s">
        <v>56</v>
      </c>
      <c r="I16" s="13">
        <f>SUM(I3:I14)</f>
        <v>52116.52</v>
      </c>
      <c r="J16" s="13">
        <f>SUM(J3:J14)</f>
        <v>95841</v>
      </c>
      <c r="K16" s="13">
        <f>SUM(K3:K14)</f>
        <v>0</v>
      </c>
      <c r="L16" s="13">
        <f>SUM(L3:L15)</f>
        <v>411561.98999999993</v>
      </c>
      <c r="M16" s="13">
        <f>SUM(M3:M14)</f>
        <v>0</v>
      </c>
      <c r="N16" s="13">
        <f>SUM(N3:N14)</f>
        <v>498627.36</v>
      </c>
      <c r="O16" s="30">
        <f>SUM(I16:N16)</f>
        <v>1058146.8699999999</v>
      </c>
    </row>
    <row r="17" spans="2:15" ht="15.75" customHeight="1" x14ac:dyDescent="0.25">
      <c r="B17" s="20" t="s">
        <v>78</v>
      </c>
      <c r="C17" s="16">
        <f>M6+M22+M38+M54</f>
        <v>0</v>
      </c>
      <c r="D17" s="16">
        <f>M7+M23+M39+M55</f>
        <v>0</v>
      </c>
      <c r="E17" s="16">
        <f>M8+M24+M40+M56</f>
        <v>0</v>
      </c>
      <c r="F17" s="21">
        <f>SUM(C17:E17)</f>
        <v>0</v>
      </c>
    </row>
    <row r="18" spans="2:15" ht="15.75" thickBot="1" x14ac:dyDescent="0.3">
      <c r="B18" s="22" t="s">
        <v>56</v>
      </c>
      <c r="C18" s="23">
        <f>SUM(C12:C17)</f>
        <v>525861.25</v>
      </c>
      <c r="D18" s="23">
        <f>SUM(D12:D17)</f>
        <v>119777.61</v>
      </c>
      <c r="E18" s="23">
        <f>SUM(E12:E17)</f>
        <v>274022.5</v>
      </c>
      <c r="F18" s="24">
        <f>SUM(F12:F17)</f>
        <v>919661.3600000001</v>
      </c>
      <c r="H18" s="31" t="s">
        <v>79</v>
      </c>
      <c r="I18" s="28" t="s">
        <v>73</v>
      </c>
      <c r="J18" s="28" t="s">
        <v>74</v>
      </c>
      <c r="K18" s="28" t="s">
        <v>86</v>
      </c>
      <c r="L18" s="28" t="s">
        <v>76</v>
      </c>
      <c r="M18" s="28" t="s">
        <v>77</v>
      </c>
      <c r="N18" s="28" t="s">
        <v>75</v>
      </c>
      <c r="O18" s="28" t="s">
        <v>56</v>
      </c>
    </row>
    <row r="19" spans="2:15" ht="15.75" thickBot="1" x14ac:dyDescent="0.3">
      <c r="H19" s="29" t="s">
        <v>65</v>
      </c>
      <c r="I19" s="13">
        <v>2311.37</v>
      </c>
      <c r="J19" s="13">
        <v>12310</v>
      </c>
      <c r="K19" s="13">
        <v>0</v>
      </c>
      <c r="L19" s="13">
        <v>0</v>
      </c>
      <c r="M19" s="13">
        <v>0</v>
      </c>
      <c r="N19" s="13">
        <v>47.28</v>
      </c>
      <c r="O19" s="30">
        <f t="shared" ref="O19:O30" si="2">SUM(I19:N19)</f>
        <v>14668.65</v>
      </c>
    </row>
    <row r="20" spans="2:15" ht="15" customHeight="1" x14ac:dyDescent="0.25">
      <c r="B20" s="17" t="s">
        <v>57</v>
      </c>
      <c r="C20" s="18" t="s">
        <v>62</v>
      </c>
      <c r="D20" s="18" t="s">
        <v>63</v>
      </c>
      <c r="E20" s="18" t="s">
        <v>64</v>
      </c>
      <c r="F20" s="19" t="s">
        <v>56</v>
      </c>
      <c r="H20" s="29" t="s">
        <v>66</v>
      </c>
      <c r="I20" s="13">
        <v>1638.66</v>
      </c>
      <c r="J20" s="13">
        <v>6323</v>
      </c>
      <c r="K20" s="13">
        <v>0</v>
      </c>
      <c r="L20" s="13">
        <v>0</v>
      </c>
      <c r="M20" s="13">
        <v>0</v>
      </c>
      <c r="N20" s="13">
        <v>557.85</v>
      </c>
      <c r="O20" s="30">
        <f t="shared" si="2"/>
        <v>8519.51</v>
      </c>
    </row>
    <row r="21" spans="2:15" x14ac:dyDescent="0.25">
      <c r="B21" s="20" t="s">
        <v>61</v>
      </c>
      <c r="C21" s="16">
        <f>I9+I25+I41+I57</f>
        <v>0</v>
      </c>
      <c r="D21" s="16">
        <f>I10+I26+I42+I58</f>
        <v>0</v>
      </c>
      <c r="E21" s="16">
        <f>I11+I27+I43+I59</f>
        <v>0</v>
      </c>
      <c r="F21" s="21">
        <f>SUM(C21:E21)</f>
        <v>0</v>
      </c>
      <c r="H21" s="29" t="s">
        <v>67</v>
      </c>
      <c r="I21" s="13">
        <v>1820.28</v>
      </c>
      <c r="J21" s="13">
        <v>20088.07</v>
      </c>
      <c r="K21" s="13">
        <v>0</v>
      </c>
      <c r="L21" s="13">
        <v>0</v>
      </c>
      <c r="M21" s="13">
        <v>0</v>
      </c>
      <c r="N21" s="13">
        <v>652.97</v>
      </c>
      <c r="O21" s="30">
        <f t="shared" si="2"/>
        <v>22561.32</v>
      </c>
    </row>
    <row r="22" spans="2:15" x14ac:dyDescent="0.25">
      <c r="B22" s="20" t="s">
        <v>58</v>
      </c>
      <c r="C22" s="16">
        <f>J9+J25+J41+J57</f>
        <v>0</v>
      </c>
      <c r="D22" s="16">
        <f>J10+J26+J42+J58</f>
        <v>0</v>
      </c>
      <c r="E22" s="16">
        <f>J11+J27+J43+J59</f>
        <v>0</v>
      </c>
      <c r="F22" s="21">
        <f>SUM(C22:E22)</f>
        <v>0</v>
      </c>
      <c r="H22" s="29" t="s">
        <v>53</v>
      </c>
      <c r="I22" s="13">
        <v>1929.36</v>
      </c>
      <c r="J22" s="13">
        <v>6800</v>
      </c>
      <c r="K22" s="13">
        <v>0</v>
      </c>
      <c r="L22" s="13">
        <v>0</v>
      </c>
      <c r="M22" s="13">
        <v>0</v>
      </c>
      <c r="N22" s="13">
        <v>604.29999999999995</v>
      </c>
      <c r="O22" s="30">
        <f t="shared" si="2"/>
        <v>9333.66</v>
      </c>
    </row>
    <row r="23" spans="2:15" x14ac:dyDescent="0.25">
      <c r="B23" s="20" t="s">
        <v>59</v>
      </c>
      <c r="C23" s="16">
        <f>L9+L25+L41+L57</f>
        <v>0</v>
      </c>
      <c r="D23" s="16">
        <f>L10+L26+L42+L58</f>
        <v>0</v>
      </c>
      <c r="E23" s="16">
        <f>L11+L27+L43+L59</f>
        <v>0</v>
      </c>
      <c r="F23" s="21">
        <f>SUM(C23:E23)</f>
        <v>0</v>
      </c>
      <c r="H23" s="29" t="s">
        <v>54</v>
      </c>
      <c r="I23" s="13">
        <v>635.63</v>
      </c>
      <c r="J23" s="13">
        <v>10200</v>
      </c>
      <c r="K23" s="13">
        <v>0</v>
      </c>
      <c r="L23" s="13">
        <v>0</v>
      </c>
      <c r="M23" s="13">
        <v>0</v>
      </c>
      <c r="N23" s="13">
        <v>646.89</v>
      </c>
      <c r="O23" s="30">
        <f t="shared" si="2"/>
        <v>11482.519999999999</v>
      </c>
    </row>
    <row r="24" spans="2:15" x14ac:dyDescent="0.25">
      <c r="B24" s="20" t="s">
        <v>60</v>
      </c>
      <c r="C24" s="16">
        <f>N9+N25+N41+N57</f>
        <v>0</v>
      </c>
      <c r="D24" s="16">
        <f>N10+N26+N42+N58</f>
        <v>0</v>
      </c>
      <c r="E24" s="16">
        <f>N11+N27+N43+N59</f>
        <v>0</v>
      </c>
      <c r="F24" s="21">
        <f>SUM(C24:E24)</f>
        <v>0</v>
      </c>
      <c r="H24" s="29" t="s">
        <v>55</v>
      </c>
      <c r="I24" s="13">
        <v>741.73</v>
      </c>
      <c r="J24" s="13">
        <v>0</v>
      </c>
      <c r="K24" s="13">
        <v>0</v>
      </c>
      <c r="L24" s="13">
        <v>0</v>
      </c>
      <c r="M24" s="13">
        <v>0</v>
      </c>
      <c r="N24" s="13">
        <f>674.19-47.28</f>
        <v>626.91000000000008</v>
      </c>
      <c r="O24" s="30">
        <f t="shared" si="2"/>
        <v>1368.64</v>
      </c>
    </row>
    <row r="25" spans="2:15" ht="15.75" customHeight="1" x14ac:dyDescent="0.25">
      <c r="B25" s="20" t="s">
        <v>78</v>
      </c>
      <c r="C25" s="16">
        <f>M9+M25+M41+M57</f>
        <v>0</v>
      </c>
      <c r="D25" s="16">
        <f>M10+M26+M42+M58</f>
        <v>0</v>
      </c>
      <c r="E25" s="16">
        <f>M11+M27+M43+M59</f>
        <v>0</v>
      </c>
      <c r="F25" s="21">
        <f>SUM(C25:E25)</f>
        <v>0</v>
      </c>
      <c r="H25" s="29" t="s">
        <v>62</v>
      </c>
      <c r="I25" s="13"/>
      <c r="J25" s="13"/>
      <c r="K25" s="13"/>
      <c r="L25" s="13">
        <v>0</v>
      </c>
      <c r="M25" s="13">
        <v>0</v>
      </c>
      <c r="N25" s="13">
        <v>0</v>
      </c>
      <c r="O25" s="30">
        <f t="shared" si="2"/>
        <v>0</v>
      </c>
    </row>
    <row r="26" spans="2:15" ht="15.75" thickBot="1" x14ac:dyDescent="0.3">
      <c r="B26" s="22" t="s">
        <v>56</v>
      </c>
      <c r="C26" s="23">
        <f>SUM(C21:C25)</f>
        <v>0</v>
      </c>
      <c r="D26" s="23">
        <f>SUM(D21:D25)</f>
        <v>0</v>
      </c>
      <c r="E26" s="23">
        <f>SUM(E21:E25)</f>
        <v>0</v>
      </c>
      <c r="F26" s="24">
        <f>SUM(F21:F25)</f>
        <v>0</v>
      </c>
      <c r="H26" s="29" t="s">
        <v>63</v>
      </c>
      <c r="I26" s="13"/>
      <c r="J26" s="13"/>
      <c r="K26" s="13"/>
      <c r="L26" s="13">
        <v>0</v>
      </c>
      <c r="M26" s="13">
        <v>0</v>
      </c>
      <c r="N26" s="13">
        <v>0</v>
      </c>
      <c r="O26" s="30">
        <f t="shared" si="2"/>
        <v>0</v>
      </c>
    </row>
    <row r="27" spans="2:15" ht="15.75" thickBot="1" x14ac:dyDescent="0.3">
      <c r="C27" s="13"/>
      <c r="D27" s="13"/>
      <c r="E27" s="13"/>
      <c r="F27" s="13"/>
      <c r="H27" s="29" t="s">
        <v>64</v>
      </c>
      <c r="I27" s="13"/>
      <c r="J27" s="13"/>
      <c r="K27" s="13"/>
      <c r="L27" s="13">
        <v>0</v>
      </c>
      <c r="M27" s="13">
        <v>0</v>
      </c>
      <c r="N27" s="13">
        <v>0</v>
      </c>
      <c r="O27" s="30">
        <f t="shared" si="2"/>
        <v>0</v>
      </c>
    </row>
    <row r="28" spans="2:15" x14ac:dyDescent="0.25">
      <c r="B28" s="17" t="s">
        <v>57</v>
      </c>
      <c r="C28" s="18" t="s">
        <v>70</v>
      </c>
      <c r="D28" s="18" t="s">
        <v>69</v>
      </c>
      <c r="E28" s="18" t="s">
        <v>68</v>
      </c>
      <c r="F28" s="19" t="s">
        <v>56</v>
      </c>
      <c r="H28" s="29" t="s">
        <v>70</v>
      </c>
      <c r="I28" s="13"/>
      <c r="J28" s="13"/>
      <c r="K28" s="13"/>
      <c r="L28" s="13">
        <v>0</v>
      </c>
      <c r="M28" s="13">
        <v>0</v>
      </c>
      <c r="N28" s="13">
        <v>0</v>
      </c>
      <c r="O28" s="30">
        <f t="shared" si="2"/>
        <v>0</v>
      </c>
    </row>
    <row r="29" spans="2:15" x14ac:dyDescent="0.25">
      <c r="B29" s="20" t="s">
        <v>61</v>
      </c>
      <c r="C29" s="16">
        <f>I12+I28+I44+I60</f>
        <v>0</v>
      </c>
      <c r="D29" s="16">
        <f>I13+I29+I45+I61</f>
        <v>0</v>
      </c>
      <c r="E29" s="16">
        <f>I14+I30+I46+I62</f>
        <v>0</v>
      </c>
      <c r="F29" s="21">
        <f>SUM(C29:E29)</f>
        <v>0</v>
      </c>
      <c r="H29" s="29" t="s">
        <v>69</v>
      </c>
      <c r="I29" s="13"/>
      <c r="J29" s="13"/>
      <c r="K29" s="13"/>
      <c r="L29" s="13">
        <v>0</v>
      </c>
      <c r="M29" s="13">
        <v>0</v>
      </c>
      <c r="N29" s="13">
        <v>0</v>
      </c>
      <c r="O29" s="30">
        <f t="shared" si="2"/>
        <v>0</v>
      </c>
    </row>
    <row r="30" spans="2:15" x14ac:dyDescent="0.25">
      <c r="B30" s="20" t="s">
        <v>58</v>
      </c>
      <c r="C30" s="16">
        <f>J12+J28+J44+J60</f>
        <v>0</v>
      </c>
      <c r="D30" s="16">
        <f>J13+J29+J45+J61</f>
        <v>0</v>
      </c>
      <c r="E30" s="16">
        <f>J14+J30+J46+J62</f>
        <v>0</v>
      </c>
      <c r="F30" s="21">
        <f>SUM(C30:E30)</f>
        <v>0</v>
      </c>
      <c r="H30" s="29" t="s">
        <v>68</v>
      </c>
      <c r="I30" s="13"/>
      <c r="J30" s="13"/>
      <c r="K30" s="13"/>
      <c r="L30" s="13">
        <v>0</v>
      </c>
      <c r="M30" s="13">
        <v>0</v>
      </c>
      <c r="N30" s="13">
        <v>0</v>
      </c>
      <c r="O30" s="30">
        <f t="shared" si="2"/>
        <v>0</v>
      </c>
    </row>
    <row r="31" spans="2:15" x14ac:dyDescent="0.25">
      <c r="B31" s="20" t="s">
        <v>59</v>
      </c>
      <c r="C31" s="16">
        <f>L12+L28+L44+L60</f>
        <v>0</v>
      </c>
      <c r="D31" s="16">
        <f>L13+L29+L45+L61</f>
        <v>0</v>
      </c>
      <c r="E31" s="16">
        <f>L14+L30+L46+L62</f>
        <v>0</v>
      </c>
      <c r="F31" s="21">
        <f>SUM(C31:E31)</f>
        <v>0</v>
      </c>
      <c r="I31" s="13"/>
      <c r="J31" s="13"/>
      <c r="K31" s="13"/>
      <c r="L31" s="13"/>
      <c r="M31" s="13"/>
      <c r="N31" s="13"/>
      <c r="O31" s="30"/>
    </row>
    <row r="32" spans="2:15" x14ac:dyDescent="0.25">
      <c r="B32" s="20" t="s">
        <v>60</v>
      </c>
      <c r="C32" s="16">
        <f>N12+N28+N44+N60</f>
        <v>0</v>
      </c>
      <c r="D32" s="16">
        <f>N13+N29+N45+N61</f>
        <v>0</v>
      </c>
      <c r="E32" s="16">
        <f>N14+N30+N46+N62</f>
        <v>0</v>
      </c>
      <c r="F32" s="21">
        <f>SUM(C32:E32)</f>
        <v>0</v>
      </c>
      <c r="H32" s="29" t="s">
        <v>56</v>
      </c>
      <c r="I32" s="13">
        <f t="shared" ref="I32:N32" si="3">SUM(I19:I30)</f>
        <v>9077.0299999999988</v>
      </c>
      <c r="J32" s="13">
        <f t="shared" si="3"/>
        <v>55721.07</v>
      </c>
      <c r="K32" s="13">
        <f t="shared" si="3"/>
        <v>0</v>
      </c>
      <c r="L32" s="13">
        <f t="shared" si="3"/>
        <v>0</v>
      </c>
      <c r="M32" s="13">
        <f t="shared" si="3"/>
        <v>0</v>
      </c>
      <c r="N32" s="13">
        <f t="shared" si="3"/>
        <v>3136.2</v>
      </c>
      <c r="O32" s="30">
        <f>SUM(I32:N32)</f>
        <v>67934.3</v>
      </c>
    </row>
    <row r="33" spans="2:15" x14ac:dyDescent="0.25">
      <c r="B33" s="20" t="s">
        <v>78</v>
      </c>
      <c r="C33" s="16">
        <f>M12+M28+M44+M60</f>
        <v>0</v>
      </c>
      <c r="D33" s="16">
        <f>M13+M29+M45+M61</f>
        <v>0</v>
      </c>
      <c r="E33" s="16">
        <f>M14+M30+M62</f>
        <v>0</v>
      </c>
      <c r="F33" s="21">
        <f>SUM(C33:E33)</f>
        <v>0</v>
      </c>
      <c r="N33" s="30"/>
    </row>
    <row r="34" spans="2:15" ht="15.75" thickBot="1" x14ac:dyDescent="0.3">
      <c r="B34" s="22" t="s">
        <v>56</v>
      </c>
      <c r="C34" s="23">
        <f>SUM(C29:C33)</f>
        <v>0</v>
      </c>
      <c r="D34" s="23">
        <f>SUM(D29:D33)</f>
        <v>0</v>
      </c>
      <c r="E34" s="23">
        <f>SUM(E29:E33)</f>
        <v>0</v>
      </c>
      <c r="F34" s="24">
        <f>SUM(F29:F33)</f>
        <v>0</v>
      </c>
      <c r="H34" s="31" t="s">
        <v>80</v>
      </c>
      <c r="I34" s="28" t="s">
        <v>73</v>
      </c>
      <c r="J34" s="28" t="s">
        <v>74</v>
      </c>
      <c r="K34" s="28" t="s">
        <v>86</v>
      </c>
      <c r="L34" s="28" t="s">
        <v>76</v>
      </c>
      <c r="M34" s="28" t="s">
        <v>77</v>
      </c>
      <c r="N34" s="28" t="s">
        <v>75</v>
      </c>
      <c r="O34" s="28" t="s">
        <v>56</v>
      </c>
    </row>
    <row r="35" spans="2:15" x14ac:dyDescent="0.25">
      <c r="C35" s="13"/>
      <c r="D35" s="13"/>
      <c r="E35" s="13"/>
      <c r="F35" s="13"/>
      <c r="H35" s="29" t="s">
        <v>65</v>
      </c>
      <c r="I35" s="13">
        <v>2212.1799999999998</v>
      </c>
      <c r="J35" s="13">
        <v>9635.69</v>
      </c>
      <c r="K35" s="13">
        <v>0</v>
      </c>
      <c r="L35" s="13">
        <v>0</v>
      </c>
      <c r="M35" s="13">
        <v>0</v>
      </c>
      <c r="N35" s="13">
        <v>0</v>
      </c>
      <c r="O35" s="30">
        <f t="shared" ref="O35:O46" si="4">SUM(I35:N35)</f>
        <v>11847.87</v>
      </c>
    </row>
    <row r="36" spans="2:15" ht="15.75" thickBot="1" x14ac:dyDescent="0.3">
      <c r="C36" s="13"/>
      <c r="D36" s="13"/>
      <c r="E36" s="13"/>
      <c r="F36" s="13"/>
      <c r="H36" s="29" t="s">
        <v>66</v>
      </c>
      <c r="I36" s="13">
        <v>1835.87</v>
      </c>
      <c r="J36" s="13">
        <v>17306.810000000001</v>
      </c>
      <c r="K36" s="13">
        <v>0</v>
      </c>
      <c r="L36" s="13">
        <v>0</v>
      </c>
      <c r="M36" s="13">
        <v>0</v>
      </c>
      <c r="N36" s="13">
        <v>0</v>
      </c>
      <c r="O36" s="30">
        <f t="shared" si="4"/>
        <v>19142.68</v>
      </c>
    </row>
    <row r="37" spans="2:15" x14ac:dyDescent="0.25">
      <c r="B37" s="17" t="s">
        <v>57</v>
      </c>
      <c r="C37" s="18" t="s">
        <v>82</v>
      </c>
      <c r="D37" s="13"/>
      <c r="E37" s="13"/>
      <c r="F37" s="13"/>
      <c r="H37" s="29" t="s">
        <v>67</v>
      </c>
      <c r="I37" s="13">
        <v>2295.92</v>
      </c>
      <c r="J37" s="13">
        <v>15604.78</v>
      </c>
      <c r="K37" s="13">
        <v>0</v>
      </c>
      <c r="L37" s="13">
        <v>0</v>
      </c>
      <c r="M37" s="13">
        <v>0</v>
      </c>
      <c r="N37" s="13">
        <v>0</v>
      </c>
      <c r="O37" s="30">
        <f t="shared" si="4"/>
        <v>17900.7</v>
      </c>
    </row>
    <row r="38" spans="2:15" x14ac:dyDescent="0.25">
      <c r="B38" s="20" t="s">
        <v>61</v>
      </c>
      <c r="C38" s="16">
        <f>F3+F12+F21+F29</f>
        <v>89682.73000000001</v>
      </c>
      <c r="D38" s="13"/>
      <c r="E38" s="13"/>
      <c r="F38" s="13"/>
      <c r="H38" s="29" t="s">
        <v>53</v>
      </c>
      <c r="I38" s="13">
        <v>2296.73</v>
      </c>
      <c r="J38" s="13">
        <v>14866.9</v>
      </c>
      <c r="K38" s="13">
        <v>0</v>
      </c>
      <c r="L38" s="13">
        <v>0</v>
      </c>
      <c r="M38" s="13">
        <v>0</v>
      </c>
      <c r="N38" s="13">
        <v>0</v>
      </c>
      <c r="O38" s="30">
        <f t="shared" si="4"/>
        <v>17163.63</v>
      </c>
    </row>
    <row r="39" spans="2:15" x14ac:dyDescent="0.25">
      <c r="B39" s="20" t="s">
        <v>58</v>
      </c>
      <c r="C39" s="16">
        <f>F4+F13+F22+F30</f>
        <v>307548.31</v>
      </c>
      <c r="D39" s="13"/>
      <c r="E39" s="13"/>
      <c r="F39" s="13"/>
      <c r="H39" s="29" t="s">
        <v>54</v>
      </c>
      <c r="I39" s="13">
        <v>2436.59</v>
      </c>
      <c r="J39" s="13">
        <v>18404.150000000001</v>
      </c>
      <c r="K39" s="13">
        <v>0</v>
      </c>
      <c r="L39" s="13">
        <v>0</v>
      </c>
      <c r="M39" s="13">
        <v>0</v>
      </c>
      <c r="N39" s="13">
        <v>0</v>
      </c>
      <c r="O39" s="30">
        <f t="shared" si="4"/>
        <v>20840.740000000002</v>
      </c>
    </row>
    <row r="40" spans="2:15" x14ac:dyDescent="0.25">
      <c r="B40" s="20" t="s">
        <v>87</v>
      </c>
      <c r="C40" s="16">
        <f>F5+F14+F23+F31</f>
        <v>195111.56</v>
      </c>
      <c r="D40" s="13"/>
      <c r="E40" s="13"/>
      <c r="F40" s="13"/>
      <c r="H40" s="29" t="s">
        <v>55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30">
        <f t="shared" si="4"/>
        <v>0</v>
      </c>
    </row>
    <row r="41" spans="2:15" x14ac:dyDescent="0.25">
      <c r="B41" s="20" t="s">
        <v>59</v>
      </c>
      <c r="C41" s="16">
        <f>F6+F15+F23+F31</f>
        <v>411906.75</v>
      </c>
      <c r="D41" s="13"/>
      <c r="E41" s="13"/>
      <c r="F41" s="13"/>
      <c r="H41" s="29" t="s">
        <v>62</v>
      </c>
      <c r="I41" s="13"/>
      <c r="J41" s="13"/>
      <c r="K41" s="13"/>
      <c r="L41" s="13">
        <v>0</v>
      </c>
      <c r="M41" s="13">
        <v>0</v>
      </c>
      <c r="N41" s="13">
        <v>0</v>
      </c>
      <c r="O41" s="30">
        <f t="shared" si="4"/>
        <v>0</v>
      </c>
    </row>
    <row r="42" spans="2:15" x14ac:dyDescent="0.25">
      <c r="B42" s="20" t="s">
        <v>60</v>
      </c>
      <c r="C42" s="16">
        <f>F7+F16+F24+F32</f>
        <v>501763.56000000006</v>
      </c>
      <c r="D42" s="13"/>
      <c r="E42" s="13"/>
      <c r="F42" s="13"/>
      <c r="H42" s="29" t="s">
        <v>63</v>
      </c>
      <c r="I42" s="13"/>
      <c r="J42" s="13"/>
      <c r="K42" s="13"/>
      <c r="L42" s="13">
        <v>0</v>
      </c>
      <c r="M42" s="13">
        <v>0</v>
      </c>
      <c r="N42" s="13">
        <v>0</v>
      </c>
      <c r="O42" s="30">
        <f t="shared" si="4"/>
        <v>0</v>
      </c>
    </row>
    <row r="43" spans="2:15" x14ac:dyDescent="0.25">
      <c r="B43" s="20" t="s">
        <v>78</v>
      </c>
      <c r="C43" s="16">
        <f>F8+F17+F25+F33</f>
        <v>0</v>
      </c>
      <c r="D43" s="13"/>
      <c r="E43" s="13"/>
      <c r="F43" s="13"/>
      <c r="H43" s="29" t="s">
        <v>64</v>
      </c>
      <c r="I43" s="13"/>
      <c r="J43" s="13"/>
      <c r="K43" s="13"/>
      <c r="L43" s="13">
        <v>0</v>
      </c>
      <c r="M43" s="13">
        <v>0</v>
      </c>
      <c r="N43" s="13">
        <v>0</v>
      </c>
      <c r="O43" s="30">
        <f t="shared" si="4"/>
        <v>0</v>
      </c>
    </row>
    <row r="44" spans="2:15" ht="15.75" thickBot="1" x14ac:dyDescent="0.3">
      <c r="B44" s="22" t="s">
        <v>56</v>
      </c>
      <c r="C44" s="23">
        <f>SUM(C38:C43)</f>
        <v>1506012.9100000001</v>
      </c>
      <c r="D44" s="13"/>
      <c r="E44" s="13"/>
      <c r="F44" s="13"/>
      <c r="H44" s="29" t="s">
        <v>70</v>
      </c>
      <c r="I44" s="13"/>
      <c r="J44" s="13"/>
      <c r="K44" s="13"/>
      <c r="L44" s="13">
        <v>0</v>
      </c>
      <c r="M44" s="13">
        <v>0</v>
      </c>
      <c r="N44" s="13">
        <v>0</v>
      </c>
      <c r="O44" s="30">
        <f t="shared" si="4"/>
        <v>0</v>
      </c>
    </row>
    <row r="45" spans="2:15" x14ac:dyDescent="0.25">
      <c r="C45" s="13"/>
      <c r="D45" s="13"/>
      <c r="E45" s="13"/>
      <c r="F45" s="13"/>
      <c r="H45" s="29" t="s">
        <v>69</v>
      </c>
      <c r="I45" s="13"/>
      <c r="J45" s="13"/>
      <c r="K45" s="13"/>
      <c r="L45" s="13">
        <v>0</v>
      </c>
      <c r="M45" s="13">
        <v>0</v>
      </c>
      <c r="N45" s="13">
        <v>0</v>
      </c>
      <c r="O45" s="30">
        <f t="shared" si="4"/>
        <v>0</v>
      </c>
    </row>
    <row r="46" spans="2:15" x14ac:dyDescent="0.25">
      <c r="B46" t="s">
        <v>58</v>
      </c>
      <c r="C46" s="13">
        <f>C38+C39+C40</f>
        <v>592342.60000000009</v>
      </c>
      <c r="D46" s="13"/>
      <c r="E46" s="13"/>
      <c r="F46" s="13"/>
      <c r="H46" s="29" t="s">
        <v>68</v>
      </c>
      <c r="I46" s="13"/>
      <c r="J46" s="13"/>
      <c r="K46" s="13"/>
      <c r="L46" s="13">
        <v>0</v>
      </c>
      <c r="M46" s="13">
        <v>0</v>
      </c>
      <c r="N46" s="13">
        <v>0</v>
      </c>
      <c r="O46" s="30">
        <f t="shared" si="4"/>
        <v>0</v>
      </c>
    </row>
    <row r="47" spans="2:15" x14ac:dyDescent="0.25">
      <c r="B47" t="s">
        <v>83</v>
      </c>
      <c r="C47" s="13">
        <f>C41+C42+C43</f>
        <v>913670.31</v>
      </c>
      <c r="I47" s="13"/>
      <c r="J47" s="13"/>
      <c r="K47" s="13"/>
      <c r="L47" s="13"/>
      <c r="M47" s="13"/>
      <c r="N47" s="13"/>
      <c r="O47" s="30"/>
    </row>
    <row r="48" spans="2:15" x14ac:dyDescent="0.25">
      <c r="C48" s="30">
        <f>SUM(C46:C47)</f>
        <v>1506012.9100000001</v>
      </c>
      <c r="H48" s="29" t="s">
        <v>56</v>
      </c>
      <c r="I48" s="13">
        <f t="shared" ref="I48:N48" si="5">SUM(I35:I46)</f>
        <v>11077.289999999999</v>
      </c>
      <c r="J48" s="13">
        <f t="shared" si="5"/>
        <v>75818.33</v>
      </c>
      <c r="K48" s="13">
        <f t="shared" si="5"/>
        <v>0</v>
      </c>
      <c r="L48" s="13">
        <f t="shared" si="5"/>
        <v>0</v>
      </c>
      <c r="M48" s="13">
        <f t="shared" si="5"/>
        <v>0</v>
      </c>
      <c r="N48" s="13">
        <f t="shared" si="5"/>
        <v>0</v>
      </c>
      <c r="O48" s="30">
        <f>SUM(I48:N48)</f>
        <v>86895.62</v>
      </c>
    </row>
    <row r="50" spans="8:15" x14ac:dyDescent="0.25">
      <c r="H50" s="31" t="s">
        <v>81</v>
      </c>
      <c r="I50" s="28" t="s">
        <v>73</v>
      </c>
      <c r="J50" s="28" t="s">
        <v>74</v>
      </c>
      <c r="K50" s="28" t="s">
        <v>86</v>
      </c>
      <c r="L50" s="28" t="s">
        <v>76</v>
      </c>
      <c r="M50" s="28" t="s">
        <v>77</v>
      </c>
      <c r="N50" s="28" t="s">
        <v>75</v>
      </c>
      <c r="O50" s="28" t="s">
        <v>56</v>
      </c>
    </row>
    <row r="51" spans="8:15" x14ac:dyDescent="0.25">
      <c r="H51" s="29" t="s">
        <v>65</v>
      </c>
      <c r="I51" s="13">
        <v>2712</v>
      </c>
      <c r="J51" s="13">
        <v>4011.75</v>
      </c>
      <c r="K51" s="13">
        <f>581.63</f>
        <v>581.63</v>
      </c>
      <c r="L51" s="13">
        <v>180.94</v>
      </c>
      <c r="M51" s="13">
        <v>0</v>
      </c>
      <c r="N51" s="13">
        <v>0</v>
      </c>
      <c r="O51" s="30">
        <f t="shared" ref="O51:O62" si="6">SUM(I51:N51)</f>
        <v>7486.32</v>
      </c>
    </row>
    <row r="52" spans="8:15" x14ac:dyDescent="0.25">
      <c r="H52" s="29" t="s">
        <v>66</v>
      </c>
      <c r="I52" s="13">
        <v>2148.39</v>
      </c>
      <c r="J52" s="13">
        <v>11641.62</v>
      </c>
      <c r="K52" s="13">
        <f>13798.18</f>
        <v>13798.18</v>
      </c>
      <c r="L52" s="13">
        <v>75.31</v>
      </c>
      <c r="M52" s="13">
        <v>0</v>
      </c>
      <c r="N52" s="13">
        <v>0</v>
      </c>
      <c r="O52" s="30">
        <f t="shared" si="6"/>
        <v>27663.500000000004</v>
      </c>
    </row>
    <row r="53" spans="8:15" x14ac:dyDescent="0.25">
      <c r="H53" s="29" t="s">
        <v>67</v>
      </c>
      <c r="I53" s="13">
        <v>2764.57</v>
      </c>
      <c r="J53" s="13">
        <v>7872.5</v>
      </c>
      <c r="K53" s="13">
        <f>112718.37</f>
        <v>112718.37</v>
      </c>
      <c r="L53" s="13">
        <v>78.540000000000006</v>
      </c>
      <c r="M53" s="13">
        <v>0</v>
      </c>
      <c r="N53" s="13">
        <v>0</v>
      </c>
      <c r="O53" s="30">
        <f t="shared" si="6"/>
        <v>123433.98</v>
      </c>
    </row>
    <row r="54" spans="8:15" x14ac:dyDescent="0.25">
      <c r="H54" s="29" t="s">
        <v>53</v>
      </c>
      <c r="I54" s="13">
        <v>3233.45</v>
      </c>
      <c r="J54" s="13">
        <v>14352.25</v>
      </c>
      <c r="K54" s="13">
        <v>11271.86</v>
      </c>
      <c r="L54" s="13">
        <v>9.9700000000000006</v>
      </c>
      <c r="M54" s="13">
        <v>0</v>
      </c>
      <c r="N54" s="13">
        <v>0</v>
      </c>
      <c r="O54" s="30">
        <f t="shared" si="6"/>
        <v>28867.530000000002</v>
      </c>
    </row>
    <row r="55" spans="8:15" x14ac:dyDescent="0.25">
      <c r="H55" s="29" t="s">
        <v>54</v>
      </c>
      <c r="I55" s="13">
        <v>3092.01</v>
      </c>
      <c r="J55" s="13">
        <v>36231.14</v>
      </c>
      <c r="K55" s="13">
        <v>21803.57</v>
      </c>
      <c r="L55" s="13">
        <v>0</v>
      </c>
      <c r="M55" s="13">
        <v>0</v>
      </c>
      <c r="N55" s="13">
        <v>0</v>
      </c>
      <c r="O55" s="30">
        <f t="shared" si="6"/>
        <v>61126.720000000001</v>
      </c>
    </row>
    <row r="56" spans="8:15" x14ac:dyDescent="0.25">
      <c r="H56" s="29" t="s">
        <v>55</v>
      </c>
      <c r="I56" s="13">
        <v>3461.47</v>
      </c>
      <c r="J56" s="13">
        <v>6058.65</v>
      </c>
      <c r="K56" s="13">
        <v>34937.949999999997</v>
      </c>
      <c r="L56" s="13">
        <v>0</v>
      </c>
      <c r="M56" s="13">
        <v>0</v>
      </c>
      <c r="N56" s="13">
        <v>0</v>
      </c>
      <c r="O56" s="30">
        <f t="shared" si="6"/>
        <v>44458.069999999992</v>
      </c>
    </row>
    <row r="57" spans="8:15" x14ac:dyDescent="0.25">
      <c r="H57" s="29" t="s">
        <v>62</v>
      </c>
      <c r="I57" s="13"/>
      <c r="J57" s="13"/>
      <c r="K57" s="13"/>
      <c r="L57" s="13">
        <v>0</v>
      </c>
      <c r="M57" s="13">
        <v>0</v>
      </c>
      <c r="N57" s="13">
        <v>0</v>
      </c>
      <c r="O57" s="30">
        <f t="shared" si="6"/>
        <v>0</v>
      </c>
    </row>
    <row r="58" spans="8:15" x14ac:dyDescent="0.25">
      <c r="H58" s="29" t="s">
        <v>63</v>
      </c>
      <c r="I58" s="13"/>
      <c r="J58" s="13"/>
      <c r="K58" s="13"/>
      <c r="L58" s="13">
        <v>0</v>
      </c>
      <c r="M58" s="13">
        <v>0</v>
      </c>
      <c r="N58" s="13">
        <v>0</v>
      </c>
      <c r="O58" s="30">
        <f t="shared" si="6"/>
        <v>0</v>
      </c>
    </row>
    <row r="59" spans="8:15" x14ac:dyDescent="0.25">
      <c r="H59" s="29" t="s">
        <v>64</v>
      </c>
      <c r="I59" s="13"/>
      <c r="J59" s="13"/>
      <c r="K59" s="13"/>
      <c r="L59" s="13">
        <v>0</v>
      </c>
      <c r="M59" s="13">
        <v>0</v>
      </c>
      <c r="N59" s="13">
        <v>0</v>
      </c>
      <c r="O59" s="30">
        <f t="shared" si="6"/>
        <v>0</v>
      </c>
    </row>
    <row r="60" spans="8:15" x14ac:dyDescent="0.25">
      <c r="H60" s="29" t="s">
        <v>70</v>
      </c>
      <c r="I60" s="13"/>
      <c r="J60" s="32"/>
      <c r="K60" s="32"/>
      <c r="L60" s="13">
        <v>0</v>
      </c>
      <c r="M60" s="13">
        <v>0</v>
      </c>
      <c r="N60" s="13">
        <v>0</v>
      </c>
      <c r="O60" s="30">
        <f t="shared" si="6"/>
        <v>0</v>
      </c>
    </row>
    <row r="61" spans="8:15" x14ac:dyDescent="0.25">
      <c r="H61" s="29" t="s">
        <v>69</v>
      </c>
      <c r="I61" s="13"/>
      <c r="J61" s="13"/>
      <c r="K61" s="13"/>
      <c r="L61" s="13">
        <v>0</v>
      </c>
      <c r="M61" s="13">
        <v>0</v>
      </c>
      <c r="N61" s="13">
        <v>0</v>
      </c>
      <c r="O61" s="30">
        <f t="shared" si="6"/>
        <v>0</v>
      </c>
    </row>
    <row r="62" spans="8:15" x14ac:dyDescent="0.25">
      <c r="H62" s="29" t="s">
        <v>68</v>
      </c>
      <c r="I62" s="13"/>
      <c r="J62" s="13"/>
      <c r="K62" s="13"/>
      <c r="L62" s="13">
        <v>0</v>
      </c>
      <c r="M62" s="13">
        <v>0</v>
      </c>
      <c r="N62" s="13">
        <v>0</v>
      </c>
      <c r="O62" s="30">
        <f t="shared" si="6"/>
        <v>0</v>
      </c>
    </row>
    <row r="63" spans="8:15" x14ac:dyDescent="0.25">
      <c r="I63" s="13"/>
      <c r="J63" s="13"/>
      <c r="K63" s="13"/>
      <c r="L63" s="13"/>
      <c r="M63" s="13"/>
      <c r="N63" s="13"/>
      <c r="O63" s="30"/>
    </row>
    <row r="64" spans="8:15" x14ac:dyDescent="0.25">
      <c r="H64" s="29" t="s">
        <v>56</v>
      </c>
      <c r="I64" s="13">
        <f t="shared" ref="I64:N64" si="7">SUM(I51:I62)</f>
        <v>17411.89</v>
      </c>
      <c r="J64" s="13">
        <f t="shared" si="7"/>
        <v>80167.91</v>
      </c>
      <c r="K64" s="13">
        <f t="shared" si="7"/>
        <v>195111.56</v>
      </c>
      <c r="L64" s="13">
        <f t="shared" si="7"/>
        <v>344.76000000000005</v>
      </c>
      <c r="M64" s="13">
        <f t="shared" si="7"/>
        <v>0</v>
      </c>
      <c r="N64" s="13">
        <f t="shared" si="7"/>
        <v>0</v>
      </c>
      <c r="O64" s="30">
        <f>SUM(I64:N64)</f>
        <v>293036.12</v>
      </c>
    </row>
    <row r="67" spans="10:11" x14ac:dyDescent="0.25">
      <c r="J67" s="33"/>
      <c r="K67" s="33"/>
    </row>
    <row r="68" spans="10:11" x14ac:dyDescent="0.25">
      <c r="J68" s="30"/>
      <c r="K68" s="30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QUADRO 2015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José Paulo Guandelini</cp:lastModifiedBy>
  <cp:lastPrinted>2015-02-19T17:31:07Z</cp:lastPrinted>
  <dcterms:created xsi:type="dcterms:W3CDTF">2011-06-02T02:54:49Z</dcterms:created>
  <dcterms:modified xsi:type="dcterms:W3CDTF">2016-05-19T12:51:34Z</dcterms:modified>
</cp:coreProperties>
</file>