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25" windowHeight="9435" activeTab="1"/>
  </bookViews>
  <sheets>
    <sheet name="DESPESA" sheetId="1" r:id="rId1"/>
    <sheet name="RECEITA" sheetId="2" r:id="rId2"/>
  </sheets>
  <calcPr calcId="144525"/>
</workbook>
</file>

<file path=xl/calcChain.xml><?xml version="1.0" encoding="utf-8"?>
<calcChain xmlns="http://schemas.openxmlformats.org/spreadsheetml/2006/main">
  <c r="E19" i="2" l="1"/>
  <c r="E18" i="2"/>
  <c r="E26" i="2"/>
  <c r="E25" i="2"/>
  <c r="E23" i="2"/>
  <c r="E17" i="2"/>
  <c r="E14" i="2"/>
  <c r="F186" i="1" l="1"/>
  <c r="G180" i="1"/>
  <c r="F180" i="1"/>
  <c r="E180" i="1"/>
  <c r="D180" i="1"/>
  <c r="G178" i="1"/>
  <c r="G177" i="1" s="1"/>
  <c r="F178" i="1"/>
  <c r="F177" i="1" s="1"/>
  <c r="E177" i="1"/>
  <c r="D177" i="1"/>
  <c r="E176" i="1"/>
  <c r="D176" i="1"/>
  <c r="E175" i="1"/>
  <c r="D175" i="1"/>
  <c r="G173" i="1"/>
  <c r="F173" i="1"/>
  <c r="E173" i="1"/>
  <c r="E170" i="1" s="1"/>
  <c r="D173" i="1"/>
  <c r="D170" i="1" s="1"/>
  <c r="G171" i="1"/>
  <c r="F171" i="1"/>
  <c r="G170" i="1"/>
  <c r="F170" i="1"/>
  <c r="G168" i="1"/>
  <c r="F168" i="1"/>
  <c r="E168" i="1"/>
  <c r="D168" i="1"/>
  <c r="G164" i="1"/>
  <c r="F164" i="1"/>
  <c r="G161" i="1"/>
  <c r="F161" i="1"/>
  <c r="F160" i="1"/>
  <c r="F159" i="1" s="1"/>
  <c r="G159" i="1"/>
  <c r="E159" i="1"/>
  <c r="D159" i="1"/>
  <c r="F158" i="1"/>
  <c r="F153" i="1" s="1"/>
  <c r="G153" i="1"/>
  <c r="E153" i="1"/>
  <c r="D153" i="1"/>
  <c r="G150" i="1"/>
  <c r="F150" i="1"/>
  <c r="E150" i="1"/>
  <c r="D150" i="1"/>
  <c r="F148" i="1"/>
  <c r="F147" i="1"/>
  <c r="F145" i="1"/>
  <c r="F144" i="1"/>
  <c r="F142" i="1"/>
  <c r="F140" i="1"/>
  <c r="F139" i="1"/>
  <c r="F137" i="1"/>
  <c r="F136" i="1"/>
  <c r="F135" i="1"/>
  <c r="F131" i="1"/>
  <c r="F130" i="1"/>
  <c r="F129" i="1"/>
  <c r="F128" i="1"/>
  <c r="F125" i="1"/>
  <c r="F124" i="1"/>
  <c r="F123" i="1"/>
  <c r="F121" i="1"/>
  <c r="F120" i="1"/>
  <c r="F119" i="1"/>
  <c r="F115" i="1" s="1"/>
  <c r="F117" i="1"/>
  <c r="G115" i="1"/>
  <c r="E115" i="1"/>
  <c r="D115" i="1"/>
  <c r="F114" i="1"/>
  <c r="G110" i="1"/>
  <c r="F110" i="1"/>
  <c r="E110" i="1"/>
  <c r="D110" i="1"/>
  <c r="F109" i="1"/>
  <c r="F108" i="1"/>
  <c r="F105" i="1"/>
  <c r="F104" i="1"/>
  <c r="F103" i="1"/>
  <c r="F102" i="1" s="1"/>
  <c r="G102" i="1"/>
  <c r="E102" i="1"/>
  <c r="D102" i="1"/>
  <c r="F101" i="1"/>
  <c r="F97" i="1" s="1"/>
  <c r="F99" i="1"/>
  <c r="G97" i="1"/>
  <c r="E97" i="1"/>
  <c r="D97" i="1"/>
  <c r="F91" i="1"/>
  <c r="F88" i="1"/>
  <c r="F87" i="1"/>
  <c r="F82" i="1"/>
  <c r="F81" i="1"/>
  <c r="F80" i="1"/>
  <c r="F78" i="1"/>
  <c r="F75" i="1"/>
  <c r="F74" i="1"/>
  <c r="F73" i="1"/>
  <c r="F70" i="1"/>
  <c r="F68" i="1"/>
  <c r="F67" i="1"/>
  <c r="F66" i="1"/>
  <c r="F65" i="1"/>
  <c r="F63" i="1" s="1"/>
  <c r="F64" i="1"/>
  <c r="G63" i="1"/>
  <c r="E63" i="1"/>
  <c r="D63" i="1"/>
  <c r="F62" i="1"/>
  <c r="G61" i="1"/>
  <c r="F61" i="1"/>
  <c r="E61" i="1"/>
  <c r="D61" i="1"/>
  <c r="F60" i="1"/>
  <c r="F59" i="1"/>
  <c r="F58" i="1" s="1"/>
  <c r="G58" i="1"/>
  <c r="E58" i="1"/>
  <c r="E53" i="1" s="1"/>
  <c r="E52" i="1" s="1"/>
  <c r="E9" i="1" s="1"/>
  <c r="D58" i="1"/>
  <c r="F57" i="1"/>
  <c r="G56" i="1"/>
  <c r="F56" i="1"/>
  <c r="D56" i="1"/>
  <c r="D53" i="1" s="1"/>
  <c r="D52" i="1" s="1"/>
  <c r="G54" i="1"/>
  <c r="F54" i="1"/>
  <c r="G53" i="1"/>
  <c r="G52" i="1"/>
  <c r="G48" i="1"/>
  <c r="G47" i="1" s="1"/>
  <c r="F48" i="1"/>
  <c r="E48" i="1"/>
  <c r="F47" i="1"/>
  <c r="E47" i="1"/>
  <c r="D47" i="1"/>
  <c r="G45" i="1"/>
  <c r="F45" i="1"/>
  <c r="G43" i="1"/>
  <c r="F43" i="1"/>
  <c r="G41" i="1"/>
  <c r="F41" i="1"/>
  <c r="G38" i="1"/>
  <c r="F38" i="1"/>
  <c r="F37" i="1"/>
  <c r="F33" i="1"/>
  <c r="F22" i="1" s="1"/>
  <c r="G22" i="1"/>
  <c r="G11" i="1" s="1"/>
  <c r="G10" i="1" s="1"/>
  <c r="G9" i="1" s="1"/>
  <c r="E22" i="1"/>
  <c r="D22" i="1"/>
  <c r="G20" i="1"/>
  <c r="F20" i="1"/>
  <c r="G12" i="1"/>
  <c r="F12" i="1"/>
  <c r="E11" i="1"/>
  <c r="D11" i="1"/>
  <c r="E10" i="1"/>
  <c r="D10" i="1"/>
  <c r="E192" i="1" l="1"/>
  <c r="D9" i="1"/>
  <c r="D192" i="1" s="1"/>
  <c r="F11" i="1"/>
  <c r="F10" i="1" s="1"/>
  <c r="F53" i="1"/>
  <c r="F52" i="1" s="1"/>
  <c r="G175" i="1"/>
  <c r="G192" i="1" s="1"/>
  <c r="G176" i="1"/>
  <c r="F175" i="1"/>
  <c r="F176" i="1"/>
  <c r="F9" i="1" l="1"/>
  <c r="F192" i="1"/>
  <c r="F35" i="2" l="1"/>
  <c r="E35" i="2"/>
  <c r="E34" i="2" s="1"/>
  <c r="E33" i="2" s="1"/>
  <c r="E32" i="2" s="1"/>
  <c r="E39" i="2" s="1"/>
  <c r="D35" i="2"/>
  <c r="F34" i="2"/>
  <c r="D34" i="2"/>
  <c r="D33" i="2" s="1"/>
  <c r="D32" i="2" s="1"/>
  <c r="D39" i="2" s="1"/>
  <c r="F33" i="2"/>
  <c r="F32" i="2"/>
  <c r="F39" i="2" s="1"/>
  <c r="F29" i="2"/>
  <c r="E29" i="2"/>
  <c r="E28" i="2" s="1"/>
  <c r="E27" i="2" s="1"/>
  <c r="D29" i="2"/>
  <c r="F28" i="2"/>
  <c r="F27" i="2" s="1"/>
  <c r="F24" i="2" s="1"/>
  <c r="D28" i="2"/>
  <c r="D27" i="2" s="1"/>
  <c r="E24" i="2"/>
  <c r="D24" i="2"/>
  <c r="F21" i="2"/>
  <c r="E21" i="2"/>
  <c r="D21" i="2"/>
  <c r="F16" i="2"/>
  <c r="E16" i="2"/>
  <c r="E15" i="2" s="1"/>
  <c r="D16" i="2"/>
  <c r="D15" i="2" s="1"/>
  <c r="F13" i="2"/>
  <c r="F12" i="2" s="1"/>
  <c r="F11" i="2" s="1"/>
  <c r="E13" i="2"/>
  <c r="E12" i="2" s="1"/>
  <c r="E11" i="2" s="1"/>
  <c r="D13" i="2"/>
  <c r="D12" i="2"/>
  <c r="D11" i="2"/>
  <c r="D10" i="2" s="1"/>
  <c r="D9" i="2" s="1"/>
  <c r="D38" i="2" s="1"/>
  <c r="D40" i="2" s="1"/>
  <c r="F15" i="2" l="1"/>
  <c r="F10" i="2"/>
  <c r="F9" i="2" s="1"/>
  <c r="F38" i="2" s="1"/>
  <c r="F40" i="2" s="1"/>
  <c r="E10" i="2"/>
  <c r="E9" i="2" s="1"/>
  <c r="E38" i="2" s="1"/>
  <c r="E40" i="2" s="1"/>
</calcChain>
</file>

<file path=xl/sharedStrings.xml><?xml version="1.0" encoding="utf-8"?>
<sst xmlns="http://schemas.openxmlformats.org/spreadsheetml/2006/main" count="447" uniqueCount="425">
  <si>
    <t>GESTÃO DO DINHEIRO PÚBLICO</t>
  </si>
  <si>
    <t>DESPESAS EMPENHADAS MÊS A MÊS - EXERCÍCIO DE 2018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</si>
  <si>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</si>
  <si>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</si>
  <si>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</si>
  <si>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</si>
  <si>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</si>
  <si>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</si>
  <si>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</si>
  <si>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</si>
  <si>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</si>
  <si>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</si>
  <si>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</si>
  <si>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</si>
  <si>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</si>
  <si>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</si>
  <si>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</si>
  <si>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</si>
  <si>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</si>
  <si>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</si>
  <si>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</si>
  <si>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</si>
  <si>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</si>
  <si>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</si>
  <si>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</si>
  <si>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</si>
  <si>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</si>
  <si>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</si>
  <si>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</si>
  <si>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</si>
  <si>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</si>
  <si>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</si>
  <si>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</si>
  <si>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</si>
  <si>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</si>
  <si>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</si>
  <si>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</si>
  <si>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</si>
  <si>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</si>
  <si>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</si>
  <si>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</si>
  <si>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</si>
  <si>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</si>
  <si>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</si>
  <si>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</si>
  <si>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</si>
  <si>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</si>
  <si>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</si>
  <si>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</si>
  <si>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</si>
  <si>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</si>
  <si>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</si>
  <si>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</si>
  <si>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</si>
  <si>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</si>
  <si>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</si>
  <si>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</si>
  <si>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</si>
  <si>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</si>
  <si>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 xml:space="preserve">                    Décimo Terceira Salário - RGPS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</si>
  <si>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</si>
  <si>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</si>
  <si>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</si>
  <si>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</si>
  <si>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</si>
  <si>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</si>
  <si>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</si>
  <si>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</si>
  <si>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</si>
  <si>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</si>
  <si>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</si>
  <si>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</si>
  <si>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</si>
  <si>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</si>
  <si>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</si>
  <si>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</si>
  <si>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</si>
  <si>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</si>
  <si>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</si>
  <si>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</si>
  <si>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</si>
  <si>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</si>
  <si>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</si>
  <si>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</si>
  <si>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</si>
  <si>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</si>
  <si>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</si>
  <si>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</si>
  <si>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</si>
  <si>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</si>
  <si>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</si>
  <si>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</si>
  <si>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</si>
  <si>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</si>
  <si>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</si>
  <si>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</si>
  <si>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</si>
  <si>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</si>
  <si>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</si>
  <si>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</si>
  <si>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</si>
  <si>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</si>
  <si>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</si>
  <si>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</si>
  <si>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</si>
  <si>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</si>
  <si>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</si>
  <si>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</si>
  <si>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</si>
  <si>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</si>
  <si>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</si>
  <si>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</si>
  <si>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</si>
  <si>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</si>
  <si>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</si>
  <si>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</si>
  <si>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</si>
  <si>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</si>
  <si>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</si>
  <si>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</si>
  <si>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</si>
  <si>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</si>
  <si>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</si>
  <si>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</si>
  <si>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</si>
  <si>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</si>
  <si>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</si>
  <si>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</si>
  <si>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</si>
  <si>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</si>
  <si>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</si>
  <si>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</si>
  <si>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</si>
  <si>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</si>
  <si>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</si>
  <si>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</si>
  <si>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</si>
  <si>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</si>
  <si>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</si>
  <si>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</si>
  <si>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</si>
  <si>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</si>
  <si>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</si>
  <si>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</si>
  <si>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</si>
  <si>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</si>
  <si>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</si>
  <si>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</si>
  <si>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</si>
  <si>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</si>
  <si>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</si>
  <si>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</si>
  <si>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</si>
  <si>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</si>
  <si>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</si>
  <si>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</si>
  <si>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</si>
  <si>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</si>
  <si>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</si>
  <si>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</si>
  <si>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</si>
  <si>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</si>
  <si>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</si>
  <si>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</si>
  <si>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</si>
  <si>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</si>
  <si>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</si>
  <si>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</si>
  <si>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</si>
  <si>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</si>
  <si>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</si>
  <si>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</si>
  <si>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</si>
  <si>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</si>
  <si>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</si>
  <si>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</si>
  <si>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</si>
  <si>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</si>
  <si>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</si>
  <si>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</si>
  <si>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</si>
  <si>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</si>
  <si>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</si>
  <si>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</si>
  <si>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</si>
  <si>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</si>
  <si>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</si>
  <si>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</si>
  <si>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</si>
  <si>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</si>
  <si>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3390.3946</t>
  </si>
  <si>
    <t xml:space="preserve">                    Serviços Domésticos</t>
  </si>
  <si>
    <t>3390.3947</t>
  </si>
  <si>
    <t xml:space="preserve">                    Serviços de Comunicação em Geral</t>
  </si>
  <si>
    <t xml:space="preserve">                    Serviços de Processamento de Dados</t>
  </si>
  <si>
    <t>3390.3957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</si>
  <si>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</si>
  <si>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</si>
  <si>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</si>
  <si>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</si>
  <si>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</si>
  <si>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</si>
  <si>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</si>
  <si>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</si>
  <si>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</si>
  <si>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</si>
  <si>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</si>
  <si>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</si>
  <si>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</si>
  <si>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</si>
  <si>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</si>
  <si>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</si>
  <si>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</si>
  <si>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</si>
  <si>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</si>
  <si>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</si>
  <si>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</si>
  <si>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</si>
  <si>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</si>
  <si>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</si>
  <si>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</si>
  <si>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</si>
  <si>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</si>
  <si>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</si>
  <si>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</si>
  <si>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</si>
  <si>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</si>
  <si>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</si>
  <si>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</si>
  <si>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</si>
  <si>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</si>
  <si>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</si>
  <si>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</si>
  <si>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</si>
  <si>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</si>
  <si>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</si>
  <si>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</si>
  <si>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</si>
  <si>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</si>
  <si>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</si>
  <si>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</si>
  <si>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</si>
  <si>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</si>
  <si>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</si>
  <si>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</si>
  <si>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</si>
  <si>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3390.9208</t>
  </si>
  <si>
    <t xml:space="preserve">                    Material de Consumo para Uso Imediato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</si>
  <si>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</si>
  <si>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</si>
  <si>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</si>
  <si>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</si>
  <si>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</si>
  <si>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</si>
  <si>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</si>
  <si>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</si>
  <si>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</si>
  <si>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</si>
  <si>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</si>
  <si>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</si>
  <si>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</si>
  <si>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</si>
  <si>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</si>
  <si>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</si>
  <si>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</si>
  <si>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</si>
  <si>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</si>
  <si>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</si>
  <si>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</si>
  <si>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>3390.3009</t>
  </si>
  <si>
    <t xml:space="preserve">                    Material Farmacológico</t>
  </si>
  <si>
    <t>33903012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</si>
  <si>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</si>
  <si>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</si>
  <si>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</si>
  <si>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</si>
  <si>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</si>
  <si>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</si>
  <si>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</si>
  <si>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</si>
  <si>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</si>
  <si>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</si>
  <si>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</si>
  <si>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</si>
  <si>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</si>
  <si>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</si>
  <si>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</si>
  <si>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</si>
  <si>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</si>
  <si>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</si>
  <si>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</si>
  <si>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</si>
  <si>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</si>
  <si>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</si>
  <si>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</si>
  <si>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</si>
  <si>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3390.3616</t>
  </si>
  <si>
    <t xml:space="preserve">                    Locação de Bens Móveis e Intangiveis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</si>
  <si>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</si>
  <si>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</si>
  <si>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</si>
  <si>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</si>
  <si>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</si>
  <si>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</si>
  <si>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</si>
  <si>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</si>
  <si>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</si>
  <si>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</si>
  <si>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</si>
  <si>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</si>
  <si>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</si>
  <si>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</si>
  <si>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</si>
  <si>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</si>
  <si>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</si>
  <si>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</si>
  <si>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</si>
  <si>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</si>
  <si>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</si>
  <si>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</si>
  <si>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</si>
  <si>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</si>
  <si>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</si>
  <si>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</si>
  <si>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</si>
  <si>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</si>
  <si>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</si>
  <si>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</si>
  <si>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</si>
  <si>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</si>
  <si>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</si>
  <si>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</si>
  <si>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</si>
  <si>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</si>
  <si>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</si>
  <si>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</si>
  <si>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</si>
  <si>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</si>
  <si>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</si>
  <si>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</si>
  <si>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</si>
  <si>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</si>
  <si>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</si>
  <si>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</si>
  <si>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</si>
  <si>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</si>
  <si>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</si>
  <si>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</si>
  <si>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</si>
  <si>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 xml:space="preserve">                    Aparelhos, Equip. e Utens. Médico-Odont., Lab. e Hospitalar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</si>
  <si>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</si>
  <si>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</si>
  <si>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</si>
  <si>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</si>
  <si>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4490.5218</t>
  </si>
  <si>
    <t xml:space="preserve">                    Coleções e Materiais Bibliográficos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</si>
  <si>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</si>
  <si>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</si>
  <si>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</si>
  <si>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</si>
  <si>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</si>
  <si>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</si>
  <si>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RECEITA ARRECADADA MÊS A MÊS - EXERCÍCIO DE 2018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</si>
  <si>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</si>
  <si>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</si>
  <si>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</si>
  <si>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</si>
  <si>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</si>
  <si>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</si>
  <si>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</si>
  <si>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</si>
  <si>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 xml:space="preserve">          Receitas Imobiliárias</t>
  </si>
  <si>
    <t>13110000</t>
  </si>
  <si>
    <t xml:space="preserve">               Aluguéis</t>
  </si>
  <si>
    <t>13110100</t>
  </si>
  <si>
    <t xml:space="preserve">                    Aluguéis </t>
  </si>
  <si>
    <t>13110101</t>
  </si>
  <si>
    <t xml:space="preserve">                         Aluguéis</t>
  </si>
  <si>
    <t>13200000</t>
  </si>
  <si>
    <t xml:space="preserve">          Receitas de Valores Mobiliários</t>
  </si>
  <si>
    <t>13250000</t>
  </si>
  <si>
    <t xml:space="preserve">               Remuneração de Depósitos Bancários</t>
  </si>
  <si>
    <t>13255000</t>
  </si>
  <si>
    <t xml:space="preserve">                    Remuneração sobre Recursos Diretamente Arrecadados</t>
  </si>
  <si>
    <t>13258100</t>
  </si>
  <si>
    <t xml:space="preserve">                    Remuneração sobre Recursos de Transferências e Convênios com Órgãos Federais</t>
  </si>
  <si>
    <t>13258400</t>
  </si>
  <si>
    <t xml:space="preserve">                    Remuneração sobre Recursos de Transferências e Outros Convênios</t>
  </si>
  <si>
    <t>13259900</t>
  </si>
  <si>
    <t xml:space="preserve">                    Remuneração sobre Recursos Diversos</t>
  </si>
  <si>
    <t>14000000</t>
  </si>
  <si>
    <t xml:space="preserve">     RECEITA AGROPECUÁRIA</t>
  </si>
  <si>
    <t>14100000</t>
  </si>
  <si>
    <t xml:space="preserve">          Receita da Produção Vegetal</t>
  </si>
  <si>
    <t>14200000</t>
  </si>
  <si>
    <t xml:space="preserve">          Receita da Produção Animal e Derivados</t>
  </si>
  <si>
    <t>16000000</t>
  </si>
  <si>
    <t xml:space="preserve">     RECEITA DE SERVIÇOS</t>
  </si>
  <si>
    <t>16001600</t>
  </si>
  <si>
    <t xml:space="preserve">               Serviços Educacionais</t>
  </si>
  <si>
    <t>16002200</t>
  </si>
  <si>
    <t xml:space="preserve">               Serviços de Estudos e Pesquisas</t>
  </si>
  <si>
    <t>17000000</t>
  </si>
  <si>
    <t xml:space="preserve">     TRANSFERÊNCIAS CORRENTES</t>
  </si>
  <si>
    <t>17600000</t>
  </si>
  <si>
    <t xml:space="preserve">          Transferências de Convênios</t>
  </si>
  <si>
    <t>17610000</t>
  </si>
  <si>
    <t xml:space="preserve">               Transferências de Convênios da União e de suas Entidades</t>
  </si>
  <si>
    <t>17619900</t>
  </si>
  <si>
    <t xml:space="preserve">                    Outras Transferências de Convênios da União</t>
  </si>
  <si>
    <t>17640000</t>
  </si>
  <si>
    <t xml:space="preserve">               Transferências de Convênios de Instituições Privadas</t>
  </si>
  <si>
    <t>20000000</t>
  </si>
  <si>
    <t>RECEITAS DE CAPITAL</t>
  </si>
  <si>
    <t>24000000</t>
  </si>
  <si>
    <t xml:space="preserve">     TRANSFERÊNCIAS DE CAPITAL</t>
  </si>
  <si>
    <t>24700000</t>
  </si>
  <si>
    <t>24710000</t>
  </si>
  <si>
    <t>24710200</t>
  </si>
  <si>
    <t xml:space="preserve">                    Transferências de Convênios da União Destinadas a Programas de Educação</t>
  </si>
  <si>
    <t>24740000</t>
  </si>
  <si>
    <t>TOTAL DAS RECEITAS CORRENTES</t>
  </si>
  <si>
    <t>TOTAL DAS RECEITAS DE CAPITAL</t>
  </si>
  <si>
    <t>TOTAL GERAL DAS RECEITAS</t>
  </si>
  <si>
    <t>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</si>
</sst>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0" fillId="3" borderId="1" xfId="0" applyNumberFormat="1" applyFont="1" applyFill="1" applyBorder="1"/>
    <xf numFmtId="2" fontId="0" fillId="0" borderId="1" xfId="0" applyNumberFormat="1" applyBorder="1"/>
    <xf numFmtId="43" fontId="0" fillId="0" borderId="0" xfId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6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8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0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2"/>
  <sheetViews>
    <sheetView topLeftCell="A186" workbookViewId="0">
      <selection activeCell="C189" sqref="C189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</cols>
  <sheetData>
    <row r="1" spans="2:7" ht="18.75" x14ac:dyDescent="0.3">
      <c r="B1" s="28" t="s">
        <v>66</v>
      </c>
      <c r="C1" s="28"/>
      <c r="D1" s="28"/>
      <c r="E1" s="28"/>
      <c r="F1" s="28"/>
      <c r="G1" s="28"/>
    </row>
    <row r="2" spans="2:7" x14ac:dyDescent="0.25">
      <c r="B2" s="26"/>
      <c r="C2" s="26"/>
      <c r="D2" s="26"/>
      <c r="E2" s="26"/>
      <c r="F2" s="26"/>
      <c r="G2" s="26"/>
    </row>
    <row r="3" spans="2:7" ht="17.25" x14ac:dyDescent="0.3">
      <c r="B3" s="32" t="s">
        <v>0</v>
      </c>
      <c r="C3" s="32"/>
      <c r="D3" s="32"/>
      <c r="E3" s="32"/>
      <c r="F3" s="32"/>
      <c r="G3" s="32"/>
    </row>
    <row r="4" spans="2:7" x14ac:dyDescent="0.25">
      <c r="B4" s="26"/>
      <c r="C4" s="26"/>
      <c r="D4" s="26"/>
      <c r="E4" s="26"/>
      <c r="F4" s="26"/>
      <c r="G4" s="26"/>
    </row>
    <row r="5" spans="2:7" ht="15.75" x14ac:dyDescent="0.25">
      <c r="B5" s="31" t="s">
        <v>1</v>
      </c>
      <c r="C5" s="31"/>
      <c r="D5" s="31"/>
      <c r="E5" s="31"/>
      <c r="F5" s="31"/>
      <c r="G5" s="31"/>
    </row>
    <row r="6" spans="2:7" ht="15.75" x14ac:dyDescent="0.25">
      <c r="B6" s="27" t="s">
        <v>424</v>
      </c>
      <c r="C6" s="27"/>
      <c r="D6" s="27"/>
      <c r="E6" s="27"/>
      <c r="F6" s="27"/>
      <c r="G6" s="27"/>
    </row>
    <row r="8" spans="2:7" ht="30" x14ac:dyDescent="0.25">
      <c r="B8" s="10" t="s">
        <v>2</v>
      </c>
      <c r="C8" s="10" t="s">
        <v>3</v>
      </c>
      <c r="D8" s="10" t="s">
        <v>6</v>
      </c>
      <c r="E8" s="10" t="s">
        <v>7</v>
      </c>
      <c r="F8" s="10" t="s">
        <v>8</v>
      </c>
      <c r="G8" s="10" t="s">
        <v>9</v>
      </c>
    </row>
    <row r="9" spans="2:7" x14ac:dyDescent="0.25">
      <c r="B9" s="2" t="s">
        <v>4</v>
      </c>
      <c r="C9" s="3" t="s">
        <v>5</v>
      </c>
      <c r="D9" s="4">
        <f>D10+D52</f>
        <v>76669538</v>
      </c>
      <c r="E9" s="4">
        <f>E10+E52</f>
        <v>85311765</v>
      </c>
      <c r="F9" s="4">
        <f>F10+F52</f>
        <v>8091464.669999999</v>
      </c>
      <c r="G9" s="4">
        <f>G10+G52</f>
        <v>26263740.810000002</v>
      </c>
    </row>
    <row r="10" spans="2:7" x14ac:dyDescent="0.25">
      <c r="B10" s="11" t="s">
        <v>10</v>
      </c>
      <c r="C10" s="12" t="s">
        <v>11</v>
      </c>
      <c r="D10" s="13">
        <f>D11+D47</f>
        <v>63924027</v>
      </c>
      <c r="E10" s="13">
        <f>E11+E47</f>
        <v>72359354</v>
      </c>
      <c r="F10" s="13">
        <f>F11+F47</f>
        <v>7328516.0399999991</v>
      </c>
      <c r="G10" s="13">
        <f>G11+G47</f>
        <v>23656522.400000002</v>
      </c>
    </row>
    <row r="11" spans="2:7" x14ac:dyDescent="0.25">
      <c r="B11" s="2" t="s">
        <v>12</v>
      </c>
      <c r="C11" s="3" t="s">
        <v>13</v>
      </c>
      <c r="D11" s="4">
        <f>D12+D20+D22+D38+D41+D43+D45</f>
        <v>59514027</v>
      </c>
      <c r="E11" s="4">
        <f>E12+E20+E22+E38+E41+E43+E45</f>
        <v>67949354</v>
      </c>
      <c r="F11" s="4">
        <f>F12+F20+F22+F38+F41+F43+F45</f>
        <v>6478579.3599999994</v>
      </c>
      <c r="G11" s="4">
        <f>G12+G20+G22+G38+G41+G43+G45</f>
        <v>21962315.710000001</v>
      </c>
    </row>
    <row r="12" spans="2:7" x14ac:dyDescent="0.25">
      <c r="B12" s="14" t="s">
        <v>16</v>
      </c>
      <c r="C12" s="15" t="s">
        <v>18</v>
      </c>
      <c r="D12" s="16">
        <v>6936000</v>
      </c>
      <c r="E12" s="16">
        <v>6936000</v>
      </c>
      <c r="F12" s="16">
        <f>SUM(F13:F19)</f>
        <v>987444.25</v>
      </c>
      <c r="G12" s="16">
        <f>SUM(G13:G19)</f>
        <v>2934928.35</v>
      </c>
    </row>
    <row r="13" spans="2:7" x14ac:dyDescent="0.25">
      <c r="B13" s="2" t="s">
        <v>17</v>
      </c>
      <c r="C13" s="3" t="s">
        <v>19</v>
      </c>
      <c r="D13" s="4"/>
      <c r="E13" s="4"/>
      <c r="F13" s="4">
        <v>678559.62</v>
      </c>
      <c r="G13" s="4">
        <v>2556951.52</v>
      </c>
    </row>
    <row r="14" spans="2:7" x14ac:dyDescent="0.25">
      <c r="B14" s="2" t="s">
        <v>20</v>
      </c>
      <c r="C14" s="3" t="s">
        <v>21</v>
      </c>
      <c r="D14" s="4"/>
      <c r="E14" s="4"/>
      <c r="F14" s="4">
        <v>2532.5500000000002</v>
      </c>
      <c r="G14" s="4">
        <v>9997.9</v>
      </c>
    </row>
    <row r="15" spans="2:7" x14ac:dyDescent="0.25">
      <c r="B15" s="2" t="s">
        <v>22</v>
      </c>
      <c r="C15" s="3" t="s">
        <v>23</v>
      </c>
      <c r="D15" s="4"/>
      <c r="E15" s="4"/>
      <c r="F15" s="4">
        <v>478.5</v>
      </c>
      <c r="G15" s="4">
        <v>17193.54</v>
      </c>
    </row>
    <row r="16" spans="2:7" x14ac:dyDescent="0.25">
      <c r="B16" s="2" t="s">
        <v>26</v>
      </c>
      <c r="C16" s="3" t="s">
        <v>25</v>
      </c>
      <c r="D16" s="4"/>
      <c r="E16" s="4"/>
      <c r="F16" s="4">
        <v>10080.6</v>
      </c>
      <c r="G16" s="4">
        <v>27545.02</v>
      </c>
    </row>
    <row r="17" spans="2:7" x14ac:dyDescent="0.25">
      <c r="B17" s="2" t="s">
        <v>24</v>
      </c>
      <c r="C17" s="3" t="s">
        <v>27</v>
      </c>
      <c r="D17" s="4"/>
      <c r="E17" s="4"/>
      <c r="F17" s="4">
        <v>81892.98</v>
      </c>
      <c r="G17" s="4">
        <v>108436.43</v>
      </c>
    </row>
    <row r="18" spans="2:7" x14ac:dyDescent="0.25">
      <c r="B18" s="2" t="s">
        <v>28</v>
      </c>
      <c r="C18" s="3" t="s">
        <v>29</v>
      </c>
      <c r="D18" s="4"/>
      <c r="E18" s="4"/>
      <c r="F18" s="4">
        <v>213900</v>
      </c>
      <c r="G18" s="4">
        <v>213900</v>
      </c>
    </row>
    <row r="19" spans="2:7" x14ac:dyDescent="0.25">
      <c r="B19" s="2" t="s">
        <v>30</v>
      </c>
      <c r="C19" s="3" t="s">
        <v>31</v>
      </c>
      <c r="D19" s="4"/>
      <c r="E19" s="4"/>
      <c r="F19" s="24">
        <v>0</v>
      </c>
      <c r="G19" s="4">
        <v>903.94</v>
      </c>
    </row>
    <row r="20" spans="2:7" x14ac:dyDescent="0.25">
      <c r="B20" s="14" t="s">
        <v>14</v>
      </c>
      <c r="C20" s="15" t="s">
        <v>15</v>
      </c>
      <c r="D20" s="16">
        <v>100</v>
      </c>
      <c r="E20" s="16">
        <v>100</v>
      </c>
      <c r="F20" s="16">
        <f>SUM(F21)</f>
        <v>0</v>
      </c>
      <c r="G20" s="16">
        <f>SUM(G21)</f>
        <v>18.75</v>
      </c>
    </row>
    <row r="21" spans="2:7" x14ac:dyDescent="0.25">
      <c r="B21" s="2" t="s">
        <v>32</v>
      </c>
      <c r="C21" s="3" t="s">
        <v>33</v>
      </c>
      <c r="D21" s="4"/>
      <c r="E21" s="4"/>
      <c r="F21" s="4">
        <v>0</v>
      </c>
      <c r="G21" s="4">
        <v>18.75</v>
      </c>
    </row>
    <row r="22" spans="2:7" x14ac:dyDescent="0.25">
      <c r="B22" s="14" t="s">
        <v>34</v>
      </c>
      <c r="C22" s="15" t="s">
        <v>35</v>
      </c>
      <c r="D22" s="16">
        <f>17910493+15666580+2710854</f>
        <v>36287927</v>
      </c>
      <c r="E22" s="16">
        <f>17895493+24101907+2710854</f>
        <v>44708254</v>
      </c>
      <c r="F22" s="16">
        <f>SUM(F23:F37)</f>
        <v>4099974.8999999994</v>
      </c>
      <c r="G22" s="16">
        <f>SUM(G23:G37)</f>
        <v>13574722.85</v>
      </c>
    </row>
    <row r="23" spans="2:7" x14ac:dyDescent="0.25">
      <c r="B23" s="6" t="s">
        <v>36</v>
      </c>
      <c r="C23" s="7" t="s">
        <v>37</v>
      </c>
      <c r="D23" s="8"/>
      <c r="E23" s="8"/>
      <c r="F23" s="4">
        <v>2639646.71</v>
      </c>
      <c r="G23" s="4">
        <v>10466008.039999999</v>
      </c>
    </row>
    <row r="24" spans="2:7" x14ac:dyDescent="0.25">
      <c r="B24" s="6" t="s">
        <v>38</v>
      </c>
      <c r="C24" s="7" t="s">
        <v>39</v>
      </c>
      <c r="D24" s="8"/>
      <c r="E24" s="8"/>
      <c r="F24" s="4">
        <v>6736.31</v>
      </c>
      <c r="G24" s="4">
        <v>26493.14</v>
      </c>
    </row>
    <row r="25" spans="2:7" x14ac:dyDescent="0.25">
      <c r="B25" s="6" t="s">
        <v>40</v>
      </c>
      <c r="C25" s="7" t="s">
        <v>41</v>
      </c>
      <c r="D25" s="8"/>
      <c r="E25" s="8"/>
      <c r="F25" s="4">
        <v>21291.040000000001</v>
      </c>
      <c r="G25" s="4">
        <v>84591.75</v>
      </c>
    </row>
    <row r="26" spans="2:7" x14ac:dyDescent="0.25">
      <c r="B26" s="6" t="s">
        <v>43</v>
      </c>
      <c r="C26" s="7" t="s">
        <v>42</v>
      </c>
      <c r="D26" s="8"/>
      <c r="E26" s="8"/>
      <c r="F26" s="4">
        <v>1540.21</v>
      </c>
      <c r="G26" s="4">
        <v>6160.84</v>
      </c>
    </row>
    <row r="27" spans="2:7" x14ac:dyDescent="0.25">
      <c r="B27" s="6" t="s">
        <v>44</v>
      </c>
      <c r="C27" s="7" t="s">
        <v>45</v>
      </c>
      <c r="D27" s="8"/>
      <c r="E27" s="8"/>
      <c r="F27" s="4">
        <v>4673.1400000000003</v>
      </c>
      <c r="G27" s="4">
        <v>18692.560000000001</v>
      </c>
    </row>
    <row r="28" spans="2:7" x14ac:dyDescent="0.25">
      <c r="B28" s="6" t="s">
        <v>47</v>
      </c>
      <c r="C28" s="7" t="s">
        <v>46</v>
      </c>
      <c r="D28" s="8"/>
      <c r="E28" s="8"/>
      <c r="F28" s="4">
        <v>85087.29</v>
      </c>
      <c r="G28" s="4">
        <v>347454.89</v>
      </c>
    </row>
    <row r="29" spans="2:7" x14ac:dyDescent="0.25">
      <c r="B29" s="6" t="s">
        <v>48</v>
      </c>
      <c r="C29" s="7" t="s">
        <v>49</v>
      </c>
      <c r="D29" s="8"/>
      <c r="E29" s="8"/>
      <c r="F29" s="4">
        <v>227292.34</v>
      </c>
      <c r="G29" s="4">
        <v>879625.66</v>
      </c>
    </row>
    <row r="30" spans="2:7" x14ac:dyDescent="0.25">
      <c r="B30" s="6" t="s">
        <v>50</v>
      </c>
      <c r="C30" s="7" t="s">
        <v>51</v>
      </c>
      <c r="D30" s="8"/>
      <c r="E30" s="8"/>
      <c r="F30" s="4">
        <v>656.28</v>
      </c>
      <c r="G30" s="4">
        <v>19821.62</v>
      </c>
    </row>
    <row r="31" spans="2:7" x14ac:dyDescent="0.25">
      <c r="B31" s="6" t="s">
        <v>52</v>
      </c>
      <c r="C31" s="7" t="s">
        <v>53</v>
      </c>
      <c r="D31" s="8"/>
      <c r="E31" s="8"/>
      <c r="F31" s="8">
        <v>0</v>
      </c>
      <c r="G31" s="8">
        <v>0</v>
      </c>
    </row>
    <row r="32" spans="2:7" x14ac:dyDescent="0.25">
      <c r="B32" s="6" t="s">
        <v>54</v>
      </c>
      <c r="C32" s="7" t="s">
        <v>55</v>
      </c>
      <c r="D32" s="8"/>
      <c r="E32" s="8"/>
      <c r="F32" s="4">
        <v>0</v>
      </c>
      <c r="G32" s="8">
        <v>5193.55</v>
      </c>
    </row>
    <row r="33" spans="2:7" x14ac:dyDescent="0.25">
      <c r="B33" s="6" t="s">
        <v>56</v>
      </c>
      <c r="C33" s="7" t="s">
        <v>57</v>
      </c>
      <c r="D33" s="8"/>
      <c r="E33" s="8"/>
      <c r="F33" s="8">
        <f>738100+28200+70000</f>
        <v>836300</v>
      </c>
      <c r="G33" s="8">
        <v>836300</v>
      </c>
    </row>
    <row r="34" spans="2:7" x14ac:dyDescent="0.25">
      <c r="B34" s="6" t="s">
        <v>58</v>
      </c>
      <c r="C34" s="7" t="s">
        <v>59</v>
      </c>
      <c r="D34" s="8"/>
      <c r="E34" s="8"/>
      <c r="F34" s="24">
        <v>0</v>
      </c>
      <c r="G34" s="8">
        <v>235.69</v>
      </c>
    </row>
    <row r="35" spans="2:7" x14ac:dyDescent="0.25">
      <c r="B35" s="6" t="s">
        <v>60</v>
      </c>
      <c r="C35" s="7" t="s">
        <v>61</v>
      </c>
      <c r="D35" s="8"/>
      <c r="E35" s="8"/>
      <c r="F35" s="4">
        <v>2201.5100000000002</v>
      </c>
      <c r="G35" s="4">
        <v>8806.0400000000009</v>
      </c>
    </row>
    <row r="36" spans="2:7" x14ac:dyDescent="0.25">
      <c r="B36" s="6" t="s">
        <v>62</v>
      </c>
      <c r="C36" s="7" t="s">
        <v>63</v>
      </c>
      <c r="D36" s="8"/>
      <c r="E36" s="8"/>
      <c r="F36" s="4">
        <v>206450.07</v>
      </c>
      <c r="G36" s="4">
        <v>807239.07</v>
      </c>
    </row>
    <row r="37" spans="2:7" x14ac:dyDescent="0.25">
      <c r="B37" s="6" t="s">
        <v>64</v>
      </c>
      <c r="C37" s="7" t="s">
        <v>65</v>
      </c>
      <c r="D37" s="8"/>
      <c r="E37" s="8"/>
      <c r="F37" s="8">
        <f>51400+16700</f>
        <v>68100</v>
      </c>
      <c r="G37" s="8">
        <v>68100</v>
      </c>
    </row>
    <row r="38" spans="2:7" x14ac:dyDescent="0.25">
      <c r="B38" s="14" t="s">
        <v>67</v>
      </c>
      <c r="C38" s="15" t="s">
        <v>68</v>
      </c>
      <c r="D38" s="16">
        <v>1620000</v>
      </c>
      <c r="E38" s="16">
        <v>1540000</v>
      </c>
      <c r="F38" s="16">
        <f>SUM(F39+F40)</f>
        <v>146474.59</v>
      </c>
      <c r="G38" s="16">
        <f>SUM(G39+G40)</f>
        <v>417992.01</v>
      </c>
    </row>
    <row r="39" spans="2:7" x14ac:dyDescent="0.25">
      <c r="B39" s="6" t="s">
        <v>69</v>
      </c>
      <c r="C39" s="7" t="s">
        <v>70</v>
      </c>
      <c r="D39" s="8"/>
      <c r="E39" s="8"/>
      <c r="F39" s="4">
        <v>146474.59</v>
      </c>
      <c r="G39" s="4">
        <v>417914.65</v>
      </c>
    </row>
    <row r="40" spans="2:7" x14ac:dyDescent="0.25">
      <c r="B40" s="6" t="s">
        <v>71</v>
      </c>
      <c r="C40" s="7" t="s">
        <v>72</v>
      </c>
      <c r="D40" s="8"/>
      <c r="E40" s="8"/>
      <c r="F40" s="24">
        <v>0</v>
      </c>
      <c r="G40" s="8">
        <v>77.36</v>
      </c>
    </row>
    <row r="41" spans="2:7" x14ac:dyDescent="0.25">
      <c r="B41" s="14" t="s">
        <v>87</v>
      </c>
      <c r="C41" s="15" t="s">
        <v>88</v>
      </c>
      <c r="D41" s="16">
        <v>0</v>
      </c>
      <c r="E41" s="16">
        <v>65000</v>
      </c>
      <c r="F41" s="16">
        <f>F42</f>
        <v>2542.19</v>
      </c>
      <c r="G41" s="16">
        <f>G42</f>
        <v>31550.75</v>
      </c>
    </row>
    <row r="42" spans="2:7" x14ac:dyDescent="0.25">
      <c r="B42" s="6" t="s">
        <v>89</v>
      </c>
      <c r="C42" s="7" t="s">
        <v>90</v>
      </c>
      <c r="D42" s="8"/>
      <c r="E42" s="8"/>
      <c r="F42" s="4">
        <v>2542.19</v>
      </c>
      <c r="G42" s="4">
        <v>31550.75</v>
      </c>
    </row>
    <row r="43" spans="2:7" x14ac:dyDescent="0.25">
      <c r="B43" s="14" t="s">
        <v>91</v>
      </c>
      <c r="C43" s="15" t="s">
        <v>92</v>
      </c>
      <c r="D43" s="16">
        <v>0</v>
      </c>
      <c r="E43" s="16">
        <v>30000</v>
      </c>
      <c r="F43" s="16">
        <f>F44</f>
        <v>0</v>
      </c>
      <c r="G43" s="16">
        <f>G44</f>
        <v>5863.78</v>
      </c>
    </row>
    <row r="44" spans="2:7" x14ac:dyDescent="0.25">
      <c r="B44" s="6" t="s">
        <v>93</v>
      </c>
      <c r="C44" s="7" t="s">
        <v>94</v>
      </c>
      <c r="D44" s="8"/>
      <c r="E44" s="8"/>
      <c r="F44" s="24">
        <v>0</v>
      </c>
      <c r="G44" s="4">
        <v>5863.78</v>
      </c>
    </row>
    <row r="45" spans="2:7" x14ac:dyDescent="0.25">
      <c r="B45" s="14" t="s">
        <v>73</v>
      </c>
      <c r="C45" s="15" t="s">
        <v>75</v>
      </c>
      <c r="D45" s="16">
        <v>14670000</v>
      </c>
      <c r="E45" s="16">
        <v>14670000</v>
      </c>
      <c r="F45" s="16">
        <f>F46</f>
        <v>1242143.43</v>
      </c>
      <c r="G45" s="16">
        <f>G46</f>
        <v>4997239.22</v>
      </c>
    </row>
    <row r="46" spans="2:7" x14ac:dyDescent="0.25">
      <c r="B46" s="2" t="s">
        <v>74</v>
      </c>
      <c r="C46" s="3" t="s">
        <v>76</v>
      </c>
      <c r="D46" s="4"/>
      <c r="E46" s="4"/>
      <c r="F46" s="9">
        <v>1242143.43</v>
      </c>
      <c r="G46" s="4">
        <v>4997239.22</v>
      </c>
    </row>
    <row r="47" spans="2:7" x14ac:dyDescent="0.25">
      <c r="B47" s="6" t="s">
        <v>79</v>
      </c>
      <c r="C47" s="7" t="s">
        <v>78</v>
      </c>
      <c r="D47" s="8">
        <f>D48</f>
        <v>4410000</v>
      </c>
      <c r="E47" s="8">
        <f>E48</f>
        <v>4410000</v>
      </c>
      <c r="F47" s="8">
        <f>F48</f>
        <v>849936.67999999993</v>
      </c>
      <c r="G47" s="8">
        <f>G48</f>
        <v>1694206.6900000002</v>
      </c>
    </row>
    <row r="48" spans="2:7" x14ac:dyDescent="0.25">
      <c r="B48" s="14" t="s">
        <v>77</v>
      </c>
      <c r="C48" s="15" t="s">
        <v>68</v>
      </c>
      <c r="D48" s="16">
        <v>4410000</v>
      </c>
      <c r="E48" s="16">
        <f>4410000</f>
        <v>4410000</v>
      </c>
      <c r="F48" s="16">
        <f>F49+F50+F51</f>
        <v>849936.67999999993</v>
      </c>
      <c r="G48" s="16">
        <f>G49+G50+G51</f>
        <v>1694206.6900000002</v>
      </c>
    </row>
    <row r="49" spans="2:7" x14ac:dyDescent="0.25">
      <c r="B49" s="2" t="s">
        <v>80</v>
      </c>
      <c r="C49" s="3" t="s">
        <v>81</v>
      </c>
      <c r="D49" s="4"/>
      <c r="E49" s="4"/>
      <c r="F49" s="4">
        <v>444782.86</v>
      </c>
      <c r="G49" s="4">
        <v>885768.56</v>
      </c>
    </row>
    <row r="50" spans="2:7" x14ac:dyDescent="0.25">
      <c r="B50" s="2" t="s">
        <v>82</v>
      </c>
      <c r="C50" s="3" t="s">
        <v>83</v>
      </c>
      <c r="D50" s="4"/>
      <c r="E50" s="4"/>
      <c r="F50" s="4">
        <v>182762.39</v>
      </c>
      <c r="G50" s="4">
        <v>365553.84</v>
      </c>
    </row>
    <row r="51" spans="2:7" x14ac:dyDescent="0.25">
      <c r="B51" s="2" t="s">
        <v>84</v>
      </c>
      <c r="C51" s="3" t="s">
        <v>85</v>
      </c>
      <c r="D51" s="4"/>
      <c r="E51" s="4"/>
      <c r="F51" s="4">
        <v>222391.43</v>
      </c>
      <c r="G51" s="4">
        <v>442884.29</v>
      </c>
    </row>
    <row r="52" spans="2:7" x14ac:dyDescent="0.25">
      <c r="B52" s="11" t="s">
        <v>86</v>
      </c>
      <c r="C52" s="12" t="s">
        <v>95</v>
      </c>
      <c r="D52" s="13">
        <f>D53+D170</f>
        <v>12745511</v>
      </c>
      <c r="E52" s="13">
        <f>E53+E170</f>
        <v>12952411</v>
      </c>
      <c r="F52" s="13">
        <f>F53+F170</f>
        <v>762948.63</v>
      </c>
      <c r="G52" s="13">
        <f>G53+G170</f>
        <v>2607218.4099999997</v>
      </c>
    </row>
    <row r="53" spans="2:7" x14ac:dyDescent="0.25">
      <c r="B53" s="2" t="s">
        <v>96</v>
      </c>
      <c r="C53" s="3" t="s">
        <v>13</v>
      </c>
      <c r="D53" s="4">
        <f>D54+D56+D58+D61+D63+D97+D102+D110+D115+D150+D153+D159+D161+D164+D168</f>
        <v>12682001</v>
      </c>
      <c r="E53" s="4">
        <f>E54+E56+E58+E61+E63+E97+E102+E110+E115+E150+E153+E159+E161+E164+E168</f>
        <v>12888901</v>
      </c>
      <c r="F53" s="4">
        <f>F54+F56+F58+F61+F63+F97+F102+F110+F115+F150+F153+F159+F161+F164+F168</f>
        <v>762948.63</v>
      </c>
      <c r="G53" s="4">
        <f>G54+G56+G58+G61+G63+G97+G102+G110+G115+G150+G153+G159+G161+G164+G168</f>
        <v>2607218.4099999997</v>
      </c>
    </row>
    <row r="54" spans="2:7" x14ac:dyDescent="0.25">
      <c r="B54" s="14" t="s">
        <v>97</v>
      </c>
      <c r="C54" s="15" t="s">
        <v>98</v>
      </c>
      <c r="D54" s="16">
        <v>0</v>
      </c>
      <c r="E54" s="16">
        <v>10000</v>
      </c>
      <c r="F54" s="16">
        <f>F55</f>
        <v>0</v>
      </c>
      <c r="G54" s="16">
        <f>G55</f>
        <v>6732.01</v>
      </c>
    </row>
    <row r="55" spans="2:7" x14ac:dyDescent="0.25">
      <c r="B55" s="2" t="s">
        <v>99</v>
      </c>
      <c r="C55" s="3" t="s">
        <v>100</v>
      </c>
      <c r="D55" s="4"/>
      <c r="E55" s="4"/>
      <c r="F55" s="4">
        <v>0</v>
      </c>
      <c r="G55" s="4">
        <v>6732.01</v>
      </c>
    </row>
    <row r="56" spans="2:7" x14ac:dyDescent="0.25">
      <c r="B56" s="14" t="s">
        <v>101</v>
      </c>
      <c r="C56" s="15" t="s">
        <v>102</v>
      </c>
      <c r="D56" s="16">
        <f>20000+50560+65000+65000</f>
        <v>200560</v>
      </c>
      <c r="E56" s="16">
        <v>200560</v>
      </c>
      <c r="F56" s="16">
        <f>F57</f>
        <v>11395.5</v>
      </c>
      <c r="G56" s="16">
        <f>G57</f>
        <v>29046.7</v>
      </c>
    </row>
    <row r="57" spans="2:7" x14ac:dyDescent="0.25">
      <c r="B57" s="2" t="s">
        <v>103</v>
      </c>
      <c r="C57" s="3" t="s">
        <v>104</v>
      </c>
      <c r="D57" s="4"/>
      <c r="E57" s="4"/>
      <c r="F57" s="4">
        <f>4342.5+4181+2872</f>
        <v>11395.5</v>
      </c>
      <c r="G57" s="4">
        <v>29046.7</v>
      </c>
    </row>
    <row r="58" spans="2:7" x14ac:dyDescent="0.25">
      <c r="B58" s="14" t="s">
        <v>224</v>
      </c>
      <c r="C58" s="15" t="s">
        <v>225</v>
      </c>
      <c r="D58" s="16">
        <f>80000+150000+995300</f>
        <v>1225300</v>
      </c>
      <c r="E58" s="16">
        <f>80000+150000+1202200</f>
        <v>1432200</v>
      </c>
      <c r="F58" s="16">
        <f>SUM(F59:F60)</f>
        <v>53876.66</v>
      </c>
      <c r="G58" s="16">
        <f>SUM(G59:G60)</f>
        <v>224176.66</v>
      </c>
    </row>
    <row r="59" spans="2:7" x14ac:dyDescent="0.25">
      <c r="B59" s="2" t="s">
        <v>259</v>
      </c>
      <c r="C59" s="3" t="s">
        <v>260</v>
      </c>
      <c r="D59" s="4"/>
      <c r="E59" s="4"/>
      <c r="F59" s="4">
        <f>7560</f>
        <v>7560</v>
      </c>
      <c r="G59" s="4">
        <v>7560</v>
      </c>
    </row>
    <row r="60" spans="2:7" x14ac:dyDescent="0.25">
      <c r="B60" s="2" t="s">
        <v>226</v>
      </c>
      <c r="C60" s="3" t="s">
        <v>227</v>
      </c>
      <c r="D60" s="4"/>
      <c r="E60" s="4"/>
      <c r="F60" s="4">
        <f>5000+14400+26916.66</f>
        <v>46316.66</v>
      </c>
      <c r="G60" s="4">
        <v>216616.66</v>
      </c>
    </row>
    <row r="61" spans="2:7" x14ac:dyDescent="0.25">
      <c r="B61" s="14" t="s">
        <v>261</v>
      </c>
      <c r="C61" s="15" t="s">
        <v>262</v>
      </c>
      <c r="D61" s="16">
        <f>5000</f>
        <v>5000</v>
      </c>
      <c r="E61" s="16">
        <f>5000</f>
        <v>5000</v>
      </c>
      <c r="F61" s="16">
        <f>SUM(F62)</f>
        <v>510</v>
      </c>
      <c r="G61" s="16">
        <f>SUM(G62)</f>
        <v>510</v>
      </c>
    </row>
    <row r="62" spans="2:7" x14ac:dyDescent="0.25">
      <c r="B62" s="2" t="s">
        <v>263</v>
      </c>
      <c r="C62" s="3" t="s">
        <v>264</v>
      </c>
      <c r="D62" s="4"/>
      <c r="E62" s="4"/>
      <c r="F62" s="4">
        <f>510</f>
        <v>510</v>
      </c>
      <c r="G62" s="4">
        <v>510</v>
      </c>
    </row>
    <row r="63" spans="2:7" x14ac:dyDescent="0.25">
      <c r="B63" s="14" t="s">
        <v>105</v>
      </c>
      <c r="C63" s="15" t="s">
        <v>106</v>
      </c>
      <c r="D63" s="16">
        <f>100000+86399+634000+350000+126000</f>
        <v>1296399</v>
      </c>
      <c r="E63" s="16">
        <f>90000+86399+634000+350000+126000</f>
        <v>1286399</v>
      </c>
      <c r="F63" s="16">
        <f>SUM(F64:F96)</f>
        <v>65718.02</v>
      </c>
      <c r="G63" s="16">
        <f>SUM(G64:G96)</f>
        <v>210184.40999999997</v>
      </c>
    </row>
    <row r="64" spans="2:7" x14ac:dyDescent="0.25">
      <c r="B64" s="2" t="s">
        <v>107</v>
      </c>
      <c r="C64" s="3" t="s">
        <v>108</v>
      </c>
      <c r="D64" s="4"/>
      <c r="E64" s="4"/>
      <c r="F64" s="4">
        <f>10360.75+5691.76</f>
        <v>16052.51</v>
      </c>
      <c r="G64" s="4">
        <v>44022.04</v>
      </c>
    </row>
    <row r="65" spans="2:7" x14ac:dyDescent="0.25">
      <c r="B65" s="2" t="s">
        <v>265</v>
      </c>
      <c r="C65" s="3" t="s">
        <v>266</v>
      </c>
      <c r="D65" s="4"/>
      <c r="E65" s="4"/>
      <c r="F65" s="4">
        <f>215.63</f>
        <v>215.63</v>
      </c>
      <c r="G65" s="4">
        <v>215.63</v>
      </c>
    </row>
    <row r="66" spans="2:7" x14ac:dyDescent="0.25">
      <c r="B66" s="2" t="s">
        <v>109</v>
      </c>
      <c r="C66" s="3" t="s">
        <v>110</v>
      </c>
      <c r="D66" s="4"/>
      <c r="E66" s="4"/>
      <c r="F66" s="4">
        <f>134+2378.39</f>
        <v>2512.39</v>
      </c>
      <c r="G66" s="4">
        <v>3596.39</v>
      </c>
    </row>
    <row r="67" spans="2:7" x14ac:dyDescent="0.25">
      <c r="B67" s="2" t="s">
        <v>267</v>
      </c>
      <c r="C67" s="3" t="s">
        <v>268</v>
      </c>
      <c r="D67" s="4"/>
      <c r="E67" s="4"/>
      <c r="F67" s="4">
        <f>800</f>
        <v>800</v>
      </c>
      <c r="G67" s="4">
        <v>12186.26</v>
      </c>
    </row>
    <row r="68" spans="2:7" x14ac:dyDescent="0.25">
      <c r="B68" s="2" t="s">
        <v>111</v>
      </c>
      <c r="C68" s="3" t="s">
        <v>112</v>
      </c>
      <c r="D68" s="4"/>
      <c r="E68" s="4"/>
      <c r="F68" s="4">
        <f>525+3389.11</f>
        <v>3914.11</v>
      </c>
      <c r="G68" s="4">
        <v>13113.37</v>
      </c>
    </row>
    <row r="69" spans="2:7" x14ac:dyDescent="0.25">
      <c r="B69" s="2" t="s">
        <v>269</v>
      </c>
      <c r="C69" s="3" t="s">
        <v>270</v>
      </c>
      <c r="D69" s="4"/>
      <c r="E69" s="4"/>
      <c r="F69" s="24">
        <v>0</v>
      </c>
      <c r="G69" s="4">
        <v>319.42</v>
      </c>
    </row>
    <row r="70" spans="2:7" x14ac:dyDescent="0.25">
      <c r="B70" s="2" t="s">
        <v>115</v>
      </c>
      <c r="C70" s="3" t="s">
        <v>113</v>
      </c>
      <c r="D70" s="4"/>
      <c r="E70" s="4"/>
      <c r="F70" s="4">
        <f>2026+294+1963.5</f>
        <v>4283.5</v>
      </c>
      <c r="G70" s="4">
        <v>7653.5</v>
      </c>
    </row>
    <row r="71" spans="2:7" x14ac:dyDescent="0.25">
      <c r="B71" s="2" t="s">
        <v>271</v>
      </c>
      <c r="C71" s="3" t="s">
        <v>272</v>
      </c>
      <c r="D71" s="4"/>
      <c r="E71" s="4"/>
      <c r="F71" s="24">
        <v>0</v>
      </c>
      <c r="G71" s="4">
        <v>160.1</v>
      </c>
    </row>
    <row r="72" spans="2:7" x14ac:dyDescent="0.25">
      <c r="B72" s="2" t="s">
        <v>273</v>
      </c>
      <c r="C72" s="3" t="s">
        <v>274</v>
      </c>
      <c r="D72" s="4"/>
      <c r="E72" s="4"/>
      <c r="F72" s="4">
        <v>0</v>
      </c>
      <c r="G72" s="4">
        <v>0</v>
      </c>
    </row>
    <row r="73" spans="2:7" x14ac:dyDescent="0.25">
      <c r="B73" s="2" t="s">
        <v>114</v>
      </c>
      <c r="C73" s="3" t="s">
        <v>116</v>
      </c>
      <c r="D73" s="4"/>
      <c r="E73" s="4"/>
      <c r="F73" s="4">
        <f>104.7+75+445.3</f>
        <v>625</v>
      </c>
      <c r="G73" s="4">
        <v>7189.07</v>
      </c>
    </row>
    <row r="74" spans="2:7" x14ac:dyDescent="0.25">
      <c r="B74" s="2" t="s">
        <v>117</v>
      </c>
      <c r="C74" s="3" t="s">
        <v>118</v>
      </c>
      <c r="D74" s="4"/>
      <c r="E74" s="4"/>
      <c r="F74" s="4">
        <f>100+1672.98</f>
        <v>1772.98</v>
      </c>
      <c r="G74" s="4">
        <v>25464.18</v>
      </c>
    </row>
    <row r="75" spans="2:7" x14ac:dyDescent="0.25">
      <c r="B75" s="2" t="s">
        <v>275</v>
      </c>
      <c r="C75" s="3" t="s">
        <v>276</v>
      </c>
      <c r="D75" s="4"/>
      <c r="E75" s="4"/>
      <c r="F75" s="4">
        <f>15892.98</f>
        <v>15892.98</v>
      </c>
      <c r="G75" s="4">
        <v>16284.98</v>
      </c>
    </row>
    <row r="76" spans="2:7" x14ac:dyDescent="0.25">
      <c r="B76" s="2" t="s">
        <v>277</v>
      </c>
      <c r="C76" s="3" t="s">
        <v>278</v>
      </c>
      <c r="D76" s="4"/>
      <c r="E76" s="4"/>
      <c r="F76" s="4">
        <v>0</v>
      </c>
      <c r="G76" s="4">
        <v>4209.7</v>
      </c>
    </row>
    <row r="77" spans="2:7" x14ac:dyDescent="0.25">
      <c r="B77" s="2" t="s">
        <v>232</v>
      </c>
      <c r="C77" s="3" t="s">
        <v>233</v>
      </c>
      <c r="D77" s="4"/>
      <c r="E77" s="4"/>
      <c r="F77" s="4">
        <v>0</v>
      </c>
      <c r="G77" s="4">
        <v>0</v>
      </c>
    </row>
    <row r="78" spans="2:7" x14ac:dyDescent="0.25">
      <c r="B78" s="2" t="s">
        <v>119</v>
      </c>
      <c r="C78" s="3" t="s">
        <v>120</v>
      </c>
      <c r="D78" s="4"/>
      <c r="E78" s="4"/>
      <c r="F78" s="4">
        <f>697.5</f>
        <v>697.5</v>
      </c>
      <c r="G78" s="4">
        <v>8797.33</v>
      </c>
    </row>
    <row r="79" spans="2:7" x14ac:dyDescent="0.25">
      <c r="B79" s="2" t="s">
        <v>230</v>
      </c>
      <c r="C79" s="3" t="s">
        <v>231</v>
      </c>
      <c r="D79" s="4"/>
      <c r="E79" s="4"/>
      <c r="F79" s="4">
        <v>0</v>
      </c>
      <c r="G79" s="4">
        <v>0</v>
      </c>
    </row>
    <row r="80" spans="2:7" x14ac:dyDescent="0.25">
      <c r="B80" s="2" t="s">
        <v>121</v>
      </c>
      <c r="C80" s="3" t="s">
        <v>122</v>
      </c>
      <c r="D80" s="4"/>
      <c r="E80" s="4"/>
      <c r="F80" s="4">
        <f>3455.2+519.08+279.4</f>
        <v>4253.6799999999994</v>
      </c>
      <c r="G80" s="4">
        <v>12785.38</v>
      </c>
    </row>
    <row r="81" spans="2:7" x14ac:dyDescent="0.25">
      <c r="B81" s="2" t="s">
        <v>123</v>
      </c>
      <c r="C81" s="3" t="s">
        <v>124</v>
      </c>
      <c r="D81" s="4"/>
      <c r="E81" s="4"/>
      <c r="F81" s="4">
        <f>400+847</f>
        <v>1247</v>
      </c>
      <c r="G81" s="4">
        <v>2351</v>
      </c>
    </row>
    <row r="82" spans="2:7" x14ac:dyDescent="0.25">
      <c r="B82" s="2" t="s">
        <v>125</v>
      </c>
      <c r="C82" s="3" t="s">
        <v>126</v>
      </c>
      <c r="D82" s="4"/>
      <c r="E82" s="4"/>
      <c r="F82" s="4">
        <f>890.24+4942.48+126</f>
        <v>5958.7199999999993</v>
      </c>
      <c r="G82" s="4">
        <v>23972.47</v>
      </c>
    </row>
    <row r="83" spans="2:7" x14ac:dyDescent="0.25">
      <c r="B83" s="2" t="s">
        <v>279</v>
      </c>
      <c r="C83" s="3" t="s">
        <v>280</v>
      </c>
      <c r="D83" s="4"/>
      <c r="E83" s="4"/>
      <c r="F83" s="4">
        <v>106.8</v>
      </c>
      <c r="G83" s="4">
        <v>106.8</v>
      </c>
    </row>
    <row r="84" spans="2:7" x14ac:dyDescent="0.25">
      <c r="B84" s="2" t="s">
        <v>350</v>
      </c>
      <c r="C84" s="3" t="s">
        <v>351</v>
      </c>
      <c r="D84" s="4"/>
      <c r="E84" s="4"/>
      <c r="F84" s="4">
        <v>0</v>
      </c>
      <c r="G84" s="4">
        <v>0</v>
      </c>
    </row>
    <row r="85" spans="2:7" x14ac:dyDescent="0.25">
      <c r="B85" s="2" t="s">
        <v>281</v>
      </c>
      <c r="C85" s="3" t="s">
        <v>282</v>
      </c>
      <c r="D85" s="4"/>
      <c r="E85" s="4"/>
      <c r="F85" s="4">
        <v>0</v>
      </c>
      <c r="G85" s="4">
        <v>7880.2</v>
      </c>
    </row>
    <row r="86" spans="2:7" x14ac:dyDescent="0.25">
      <c r="B86" s="2" t="s">
        <v>127</v>
      </c>
      <c r="C86" s="3" t="s">
        <v>128</v>
      </c>
      <c r="D86" s="4"/>
      <c r="E86" s="4"/>
      <c r="F86" s="24">
        <v>0</v>
      </c>
      <c r="G86" s="4">
        <v>31.46</v>
      </c>
    </row>
    <row r="87" spans="2:7" x14ac:dyDescent="0.25">
      <c r="B87" s="2" t="s">
        <v>129</v>
      </c>
      <c r="C87" s="3" t="s">
        <v>130</v>
      </c>
      <c r="D87" s="4"/>
      <c r="E87" s="4"/>
      <c r="F87" s="4">
        <f>1245.72</f>
        <v>1245.72</v>
      </c>
      <c r="G87" s="4">
        <v>1245.72</v>
      </c>
    </row>
    <row r="88" spans="2:7" x14ac:dyDescent="0.25">
      <c r="B88" s="2" t="s">
        <v>131</v>
      </c>
      <c r="C88" s="3" t="s">
        <v>132</v>
      </c>
      <c r="D88" s="4"/>
      <c r="E88" s="4"/>
      <c r="F88" s="4">
        <f>6000</f>
        <v>6000</v>
      </c>
      <c r="G88" s="4">
        <v>13373.91</v>
      </c>
    </row>
    <row r="89" spans="2:7" x14ac:dyDescent="0.25">
      <c r="B89" s="2" t="s">
        <v>283</v>
      </c>
      <c r="C89" s="3" t="s">
        <v>284</v>
      </c>
      <c r="D89" s="4"/>
      <c r="E89" s="4"/>
      <c r="F89" s="4">
        <v>0</v>
      </c>
      <c r="G89" s="4">
        <v>0</v>
      </c>
    </row>
    <row r="90" spans="2:7" x14ac:dyDescent="0.25">
      <c r="B90" s="2" t="s">
        <v>133</v>
      </c>
      <c r="C90" s="3" t="s">
        <v>134</v>
      </c>
      <c r="D90" s="4"/>
      <c r="E90" s="4"/>
      <c r="F90" s="4">
        <v>0</v>
      </c>
      <c r="G90" s="4">
        <v>3936</v>
      </c>
    </row>
    <row r="91" spans="2:7" x14ac:dyDescent="0.25">
      <c r="B91" s="2" t="s">
        <v>285</v>
      </c>
      <c r="C91" s="3" t="s">
        <v>286</v>
      </c>
      <c r="D91" s="4"/>
      <c r="E91" s="4"/>
      <c r="F91" s="4">
        <f>139.5</f>
        <v>139.5</v>
      </c>
      <c r="G91" s="4">
        <v>139.5</v>
      </c>
    </row>
    <row r="92" spans="2:7" x14ac:dyDescent="0.25">
      <c r="B92" s="2" t="s">
        <v>287</v>
      </c>
      <c r="C92" s="3" t="s">
        <v>288</v>
      </c>
      <c r="D92" s="4"/>
      <c r="E92" s="4"/>
      <c r="F92" s="4">
        <v>0</v>
      </c>
      <c r="G92" s="4">
        <v>0</v>
      </c>
    </row>
    <row r="93" spans="2:7" x14ac:dyDescent="0.25">
      <c r="B93" s="2" t="s">
        <v>289</v>
      </c>
      <c r="C93" s="3" t="s">
        <v>290</v>
      </c>
      <c r="D93" s="4"/>
      <c r="E93" s="4"/>
      <c r="F93" s="4">
        <v>0</v>
      </c>
      <c r="G93" s="4">
        <v>0</v>
      </c>
    </row>
    <row r="94" spans="2:7" x14ac:dyDescent="0.25">
      <c r="B94" s="2" t="s">
        <v>228</v>
      </c>
      <c r="C94" s="3" t="s">
        <v>229</v>
      </c>
      <c r="D94" s="4"/>
      <c r="E94" s="4"/>
      <c r="F94" s="4">
        <v>0</v>
      </c>
      <c r="G94" s="4">
        <v>0</v>
      </c>
    </row>
    <row r="95" spans="2:7" x14ac:dyDescent="0.25">
      <c r="B95" s="2" t="s">
        <v>291</v>
      </c>
      <c r="C95" s="3" t="s">
        <v>292</v>
      </c>
      <c r="D95" s="4"/>
      <c r="E95" s="4"/>
      <c r="F95" s="4">
        <v>0</v>
      </c>
      <c r="G95" s="4">
        <v>0</v>
      </c>
    </row>
    <row r="96" spans="2:7" x14ac:dyDescent="0.25">
      <c r="B96" s="2" t="s">
        <v>293</v>
      </c>
      <c r="C96" s="3" t="s">
        <v>294</v>
      </c>
      <c r="D96" s="4"/>
      <c r="E96" s="4"/>
      <c r="F96" s="4">
        <v>0</v>
      </c>
      <c r="G96" s="4">
        <v>1150</v>
      </c>
    </row>
    <row r="97" spans="2:7" x14ac:dyDescent="0.25">
      <c r="B97" s="14" t="s">
        <v>135</v>
      </c>
      <c r="C97" s="15" t="s">
        <v>136</v>
      </c>
      <c r="D97" s="16">
        <f>14000+24240+80000+135000</f>
        <v>253240</v>
      </c>
      <c r="E97" s="16">
        <f>14000+24240+80000+135000</f>
        <v>253240</v>
      </c>
      <c r="F97" s="16">
        <f>SUM(F98:F101)</f>
        <v>16099.73</v>
      </c>
      <c r="G97" s="16">
        <f>SUM(G98:G101)</f>
        <v>33150.78</v>
      </c>
    </row>
    <row r="98" spans="2:7" x14ac:dyDescent="0.25">
      <c r="B98" s="2" t="s">
        <v>137</v>
      </c>
      <c r="C98" s="3" t="s">
        <v>138</v>
      </c>
      <c r="D98" s="4"/>
      <c r="E98" s="4"/>
      <c r="F98" s="4">
        <v>497.8</v>
      </c>
      <c r="G98" s="4">
        <v>497.8</v>
      </c>
    </row>
    <row r="99" spans="2:7" x14ac:dyDescent="0.25">
      <c r="B99" s="2" t="s">
        <v>139</v>
      </c>
      <c r="C99" s="3" t="s">
        <v>140</v>
      </c>
      <c r="D99" s="4"/>
      <c r="E99" s="4"/>
      <c r="F99" s="4">
        <f>8625.88+2399.74+3987.45</f>
        <v>15013.07</v>
      </c>
      <c r="G99" s="4">
        <v>31764.12</v>
      </c>
    </row>
    <row r="100" spans="2:7" x14ac:dyDescent="0.25">
      <c r="B100" s="2" t="s">
        <v>109</v>
      </c>
      <c r="C100" s="3" t="s">
        <v>295</v>
      </c>
      <c r="D100" s="4"/>
      <c r="E100" s="4"/>
      <c r="F100" s="4">
        <v>0</v>
      </c>
      <c r="G100" s="4">
        <v>0</v>
      </c>
    </row>
    <row r="101" spans="2:7" x14ac:dyDescent="0.25">
      <c r="B101" s="2" t="s">
        <v>142</v>
      </c>
      <c r="C101" s="3" t="s">
        <v>141</v>
      </c>
      <c r="D101" s="4"/>
      <c r="E101" s="4"/>
      <c r="F101" s="4">
        <f>388.86+200</f>
        <v>588.86</v>
      </c>
      <c r="G101" s="4">
        <v>888.86</v>
      </c>
    </row>
    <row r="102" spans="2:7" x14ac:dyDescent="0.25">
      <c r="B102" s="14" t="s">
        <v>143</v>
      </c>
      <c r="C102" s="15" t="s">
        <v>144</v>
      </c>
      <c r="D102" s="16">
        <f>1125453+325000+336300+1000</f>
        <v>1787753</v>
      </c>
      <c r="E102" s="16">
        <f>1125453+325000+336300+1000</f>
        <v>1787753</v>
      </c>
      <c r="F102" s="16">
        <f>SUM(F103:F109)</f>
        <v>97310.76999999999</v>
      </c>
      <c r="G102" s="16">
        <f>SUM(G103:G109)</f>
        <v>323246.84999999998</v>
      </c>
    </row>
    <row r="103" spans="2:7" x14ac:dyDescent="0.25">
      <c r="B103" s="2" t="s">
        <v>145</v>
      </c>
      <c r="C103" s="3" t="s">
        <v>146</v>
      </c>
      <c r="D103" s="4"/>
      <c r="E103" s="4"/>
      <c r="F103" s="4">
        <f>3000+6844.4</f>
        <v>9844.4</v>
      </c>
      <c r="G103" s="4">
        <v>9844.4</v>
      </c>
    </row>
    <row r="104" spans="2:7" x14ac:dyDescent="0.25">
      <c r="B104" s="2" t="s">
        <v>147</v>
      </c>
      <c r="C104" s="3" t="s">
        <v>148</v>
      </c>
      <c r="D104" s="4"/>
      <c r="E104" s="4"/>
      <c r="F104" s="4">
        <f>63435.94</f>
        <v>63435.94</v>
      </c>
      <c r="G104" s="4">
        <v>241769.38</v>
      </c>
    </row>
    <row r="105" spans="2:7" x14ac:dyDescent="0.25">
      <c r="B105" s="2" t="s">
        <v>149</v>
      </c>
      <c r="C105" s="3" t="s">
        <v>150</v>
      </c>
      <c r="D105" s="4"/>
      <c r="E105" s="4"/>
      <c r="F105" s="4">
        <f>1819.27</f>
        <v>1819.27</v>
      </c>
      <c r="G105" s="4">
        <v>7277.08</v>
      </c>
    </row>
    <row r="106" spans="2:7" x14ac:dyDescent="0.25">
      <c r="B106" s="2" t="s">
        <v>296</v>
      </c>
      <c r="C106" s="3" t="s">
        <v>297</v>
      </c>
      <c r="D106" s="4"/>
      <c r="E106" s="4"/>
      <c r="F106" s="4">
        <v>0</v>
      </c>
      <c r="G106" s="4">
        <v>0</v>
      </c>
    </row>
    <row r="107" spans="2:7" x14ac:dyDescent="0.25">
      <c r="B107" s="2" t="s">
        <v>151</v>
      </c>
      <c r="C107" s="3" t="s">
        <v>152</v>
      </c>
      <c r="D107" s="4"/>
      <c r="E107" s="4"/>
      <c r="F107" s="4">
        <v>0</v>
      </c>
      <c r="G107" s="4">
        <v>0</v>
      </c>
    </row>
    <row r="108" spans="2:7" x14ac:dyDescent="0.25">
      <c r="B108" s="2" t="s">
        <v>153</v>
      </c>
      <c r="C108" s="3" t="s">
        <v>154</v>
      </c>
      <c r="D108" s="4"/>
      <c r="E108" s="4"/>
      <c r="F108" s="4">
        <f>614.1+21276.66</f>
        <v>21890.76</v>
      </c>
      <c r="G108" s="4">
        <v>63455.59</v>
      </c>
    </row>
    <row r="109" spans="2:7" x14ac:dyDescent="0.25">
      <c r="B109" s="2" t="s">
        <v>155</v>
      </c>
      <c r="C109" s="3" t="s">
        <v>156</v>
      </c>
      <c r="D109" s="4"/>
      <c r="E109" s="4"/>
      <c r="F109" s="4">
        <f>320.4</f>
        <v>320.39999999999998</v>
      </c>
      <c r="G109" s="4">
        <v>900.4</v>
      </c>
    </row>
    <row r="110" spans="2:7" x14ac:dyDescent="0.25">
      <c r="B110" s="14" t="s">
        <v>157</v>
      </c>
      <c r="C110" s="15" t="s">
        <v>158</v>
      </c>
      <c r="D110" s="16">
        <f>4036947</f>
        <v>4036947</v>
      </c>
      <c r="E110" s="16">
        <f>4036947</f>
        <v>4036947</v>
      </c>
      <c r="F110" s="16">
        <f>SUM(F111:F114)</f>
        <v>318190.61</v>
      </c>
      <c r="G110" s="16">
        <f>SUM(G111:G114)</f>
        <v>1087830.6199999999</v>
      </c>
    </row>
    <row r="111" spans="2:7" x14ac:dyDescent="0.25">
      <c r="B111" s="2" t="s">
        <v>159</v>
      </c>
      <c r="C111" s="3" t="s">
        <v>160</v>
      </c>
      <c r="D111" s="4"/>
      <c r="E111" s="4"/>
      <c r="F111" s="4">
        <v>147793.25</v>
      </c>
      <c r="G111" s="4">
        <v>492822.24</v>
      </c>
    </row>
    <row r="112" spans="2:7" x14ac:dyDescent="0.25">
      <c r="B112" s="2" t="s">
        <v>161</v>
      </c>
      <c r="C112" s="3" t="s">
        <v>162</v>
      </c>
      <c r="D112" s="4"/>
      <c r="E112" s="4"/>
      <c r="F112" s="4">
        <v>151060.24</v>
      </c>
      <c r="G112" s="4">
        <v>507174.85</v>
      </c>
    </row>
    <row r="113" spans="2:7" x14ac:dyDescent="0.25">
      <c r="B113" s="2" t="s">
        <v>163</v>
      </c>
      <c r="C113" s="3" t="s">
        <v>164</v>
      </c>
      <c r="D113" s="4"/>
      <c r="E113" s="4"/>
      <c r="F113" s="4">
        <v>12216.99</v>
      </c>
      <c r="G113" s="4">
        <v>36650.97</v>
      </c>
    </row>
    <row r="114" spans="2:7" x14ac:dyDescent="0.25">
      <c r="B114" s="2" t="s">
        <v>165</v>
      </c>
      <c r="C114" s="3" t="s">
        <v>166</v>
      </c>
      <c r="D114" s="4"/>
      <c r="E114" s="4"/>
      <c r="F114" s="4">
        <f>7120.13</f>
        <v>7120.13</v>
      </c>
      <c r="G114" s="4">
        <v>51182.559999999998</v>
      </c>
    </row>
    <row r="115" spans="2:7" x14ac:dyDescent="0.25">
      <c r="B115" s="14" t="s">
        <v>167</v>
      </c>
      <c r="C115" s="15" t="s">
        <v>168</v>
      </c>
      <c r="D115" s="16">
        <f>150887+1512152+690734+120000+102700</f>
        <v>2576473</v>
      </c>
      <c r="E115" s="16">
        <f>150887+1512152+690734+120000+102700</f>
        <v>2576473</v>
      </c>
      <c r="F115" s="16">
        <f>SUM(F116:F149)</f>
        <v>152563.70000000001</v>
      </c>
      <c r="G115" s="16">
        <f>SUM(G116:G149)</f>
        <v>536084.89999999991</v>
      </c>
    </row>
    <row r="116" spans="2:7" x14ac:dyDescent="0.25">
      <c r="B116" s="2" t="s">
        <v>298</v>
      </c>
      <c r="C116" s="3" t="s">
        <v>299</v>
      </c>
      <c r="D116" s="4"/>
      <c r="E116" s="4"/>
      <c r="F116" s="4">
        <v>0</v>
      </c>
      <c r="G116" s="4">
        <v>332.4</v>
      </c>
    </row>
    <row r="117" spans="2:7" x14ac:dyDescent="0.25">
      <c r="B117" s="2" t="s">
        <v>169</v>
      </c>
      <c r="C117" s="3" t="s">
        <v>146</v>
      </c>
      <c r="D117" s="4"/>
      <c r="E117" s="4"/>
      <c r="F117" s="4">
        <f>2185</f>
        <v>2185</v>
      </c>
      <c r="G117" s="4">
        <v>14909.8</v>
      </c>
    </row>
    <row r="118" spans="2:7" x14ac:dyDescent="0.25">
      <c r="B118" s="2" t="s">
        <v>300</v>
      </c>
      <c r="C118" s="3" t="s">
        <v>301</v>
      </c>
      <c r="D118" s="4"/>
      <c r="E118" s="4"/>
      <c r="F118" s="4">
        <v>1897.14</v>
      </c>
      <c r="G118" s="4">
        <v>1897.14</v>
      </c>
    </row>
    <row r="119" spans="2:7" x14ac:dyDescent="0.25">
      <c r="B119" s="2" t="s">
        <v>170</v>
      </c>
      <c r="C119" s="3" t="s">
        <v>150</v>
      </c>
      <c r="D119" s="4"/>
      <c r="E119" s="4"/>
      <c r="F119" s="4">
        <f>2700+4287.98</f>
        <v>6987.98</v>
      </c>
      <c r="G119" s="4">
        <v>12387.98</v>
      </c>
    </row>
    <row r="120" spans="2:7" x14ac:dyDescent="0.25">
      <c r="B120" s="2" t="s">
        <v>171</v>
      </c>
      <c r="C120" s="3" t="s">
        <v>172</v>
      </c>
      <c r="D120" s="4"/>
      <c r="E120" s="4"/>
      <c r="F120" s="4">
        <f>689.14+7430.14</f>
        <v>8119.2800000000007</v>
      </c>
      <c r="G120" s="4">
        <v>9497.56</v>
      </c>
    </row>
    <row r="121" spans="2:7" x14ac:dyDescent="0.25">
      <c r="B121" s="2" t="s">
        <v>173</v>
      </c>
      <c r="C121" s="3" t="s">
        <v>174</v>
      </c>
      <c r="D121" s="4"/>
      <c r="E121" s="4"/>
      <c r="F121" s="4">
        <f>6019.28+2500</f>
        <v>8519.2799999999988</v>
      </c>
      <c r="G121" s="4">
        <v>12583.37</v>
      </c>
    </row>
    <row r="122" spans="2:7" x14ac:dyDescent="0.25">
      <c r="B122" s="2" t="s">
        <v>215</v>
      </c>
      <c r="C122" s="3" t="s">
        <v>216</v>
      </c>
      <c r="D122" s="4"/>
      <c r="E122" s="4"/>
      <c r="F122" s="4">
        <v>0</v>
      </c>
      <c r="G122" s="4">
        <v>0</v>
      </c>
    </row>
    <row r="123" spans="2:7" x14ac:dyDescent="0.25">
      <c r="B123" s="2" t="s">
        <v>175</v>
      </c>
      <c r="C123" s="3" t="s">
        <v>152</v>
      </c>
      <c r="D123" s="4"/>
      <c r="E123" s="4"/>
      <c r="F123" s="4">
        <f>1145+2986+8591.63</f>
        <v>12722.63</v>
      </c>
      <c r="G123" s="4">
        <v>25389.53</v>
      </c>
    </row>
    <row r="124" spans="2:7" x14ac:dyDescent="0.25">
      <c r="B124" s="2" t="s">
        <v>176</v>
      </c>
      <c r="C124" s="3" t="s">
        <v>177</v>
      </c>
      <c r="D124" s="4"/>
      <c r="E124" s="4"/>
      <c r="F124" s="4">
        <f>420+1130</f>
        <v>1550</v>
      </c>
      <c r="G124" s="4">
        <v>4490</v>
      </c>
    </row>
    <row r="125" spans="2:7" x14ac:dyDescent="0.25">
      <c r="B125" s="2" t="s">
        <v>178</v>
      </c>
      <c r="C125" s="3" t="s">
        <v>179</v>
      </c>
      <c r="D125" s="4"/>
      <c r="E125" s="4"/>
      <c r="F125" s="4">
        <f>500+333+600</f>
        <v>1433</v>
      </c>
      <c r="G125" s="4">
        <v>7111.56</v>
      </c>
    </row>
    <row r="126" spans="2:7" x14ac:dyDescent="0.25">
      <c r="B126" s="2" t="s">
        <v>180</v>
      </c>
      <c r="C126" s="3" t="s">
        <v>181</v>
      </c>
      <c r="D126" s="4"/>
      <c r="E126" s="4"/>
      <c r="F126" s="4">
        <v>0</v>
      </c>
      <c r="G126" s="4">
        <v>0</v>
      </c>
    </row>
    <row r="127" spans="2:7" x14ac:dyDescent="0.25">
      <c r="B127" s="2" t="s">
        <v>302</v>
      </c>
      <c r="C127" s="3" t="s">
        <v>303</v>
      </c>
      <c r="D127" s="4"/>
      <c r="E127" s="4"/>
      <c r="F127" s="4">
        <v>0</v>
      </c>
      <c r="G127" s="4">
        <v>280</v>
      </c>
    </row>
    <row r="128" spans="2:7" x14ac:dyDescent="0.25">
      <c r="B128" s="2" t="s">
        <v>182</v>
      </c>
      <c r="C128" s="3" t="s">
        <v>183</v>
      </c>
      <c r="D128" s="4"/>
      <c r="E128" s="4"/>
      <c r="F128" s="4">
        <f>360</f>
        <v>360</v>
      </c>
      <c r="G128" s="4">
        <v>360</v>
      </c>
    </row>
    <row r="129" spans="2:7" x14ac:dyDescent="0.25">
      <c r="B129" s="2" t="s">
        <v>184</v>
      </c>
      <c r="C129" s="3" t="s">
        <v>185</v>
      </c>
      <c r="D129" s="4"/>
      <c r="E129" s="4"/>
      <c r="F129" s="4">
        <f>6574.99+324</f>
        <v>6898.99</v>
      </c>
      <c r="G129" s="4">
        <v>12212.39</v>
      </c>
    </row>
    <row r="130" spans="2:7" x14ac:dyDescent="0.25">
      <c r="B130" s="2" t="s">
        <v>186</v>
      </c>
      <c r="C130" s="3" t="s">
        <v>187</v>
      </c>
      <c r="D130" s="4"/>
      <c r="E130" s="4"/>
      <c r="F130" s="4">
        <f>202.18+15148.8+921.53</f>
        <v>16272.51</v>
      </c>
      <c r="G130" s="4">
        <v>161391.44</v>
      </c>
    </row>
    <row r="131" spans="2:7" x14ac:dyDescent="0.25">
      <c r="B131" s="2" t="s">
        <v>188</v>
      </c>
      <c r="C131" s="3" t="s">
        <v>189</v>
      </c>
      <c r="D131" s="4"/>
      <c r="E131" s="4"/>
      <c r="F131" s="4">
        <f>765.52</f>
        <v>765.52</v>
      </c>
      <c r="G131" s="4">
        <v>20996.03</v>
      </c>
    </row>
    <row r="132" spans="2:7" x14ac:dyDescent="0.25">
      <c r="B132" s="2" t="s">
        <v>190</v>
      </c>
      <c r="C132" s="3" t="s">
        <v>191</v>
      </c>
      <c r="D132" s="4"/>
      <c r="E132" s="4"/>
      <c r="F132" s="4">
        <v>0</v>
      </c>
      <c r="G132" s="4">
        <v>0</v>
      </c>
    </row>
    <row r="133" spans="2:7" x14ac:dyDescent="0.25">
      <c r="B133" s="2" t="s">
        <v>192</v>
      </c>
      <c r="C133" s="3" t="s">
        <v>193</v>
      </c>
      <c r="D133" s="4"/>
      <c r="E133" s="4"/>
      <c r="F133" s="24">
        <v>0</v>
      </c>
      <c r="G133" s="4">
        <v>2237.87</v>
      </c>
    </row>
    <row r="134" spans="2:7" x14ac:dyDescent="0.25">
      <c r="B134" s="2" t="s">
        <v>304</v>
      </c>
      <c r="C134" s="3" t="s">
        <v>305</v>
      </c>
      <c r="D134" s="4"/>
      <c r="E134" s="4"/>
      <c r="F134" s="4">
        <v>0</v>
      </c>
      <c r="G134" s="4">
        <v>0</v>
      </c>
    </row>
    <row r="135" spans="2:7" x14ac:dyDescent="0.25">
      <c r="B135" s="2" t="s">
        <v>306</v>
      </c>
      <c r="C135" s="3" t="s">
        <v>307</v>
      </c>
      <c r="D135" s="4"/>
      <c r="E135" s="4"/>
      <c r="F135" s="4">
        <f>2068.18</f>
        <v>2068.1799999999998</v>
      </c>
      <c r="G135" s="4">
        <v>2068.1799999999998</v>
      </c>
    </row>
    <row r="136" spans="2:7" x14ac:dyDescent="0.25">
      <c r="B136" s="2" t="s">
        <v>195</v>
      </c>
      <c r="C136" s="3" t="s">
        <v>194</v>
      </c>
      <c r="D136" s="4"/>
      <c r="E136" s="4"/>
      <c r="F136" s="4">
        <f>140+15559.21</f>
        <v>15699.21</v>
      </c>
      <c r="G136" s="4">
        <v>91420.57</v>
      </c>
    </row>
    <row r="137" spans="2:7" x14ac:dyDescent="0.25">
      <c r="B137" s="2" t="s">
        <v>196</v>
      </c>
      <c r="C137" s="3" t="s">
        <v>197</v>
      </c>
      <c r="D137" s="4"/>
      <c r="E137" s="4"/>
      <c r="F137" s="4">
        <f>523.43+10231.95+595.02</f>
        <v>11350.400000000001</v>
      </c>
      <c r="G137" s="4">
        <v>38728.35</v>
      </c>
    </row>
    <row r="138" spans="2:7" x14ac:dyDescent="0.25">
      <c r="B138" s="2" t="s">
        <v>308</v>
      </c>
      <c r="C138" s="3" t="s">
        <v>309</v>
      </c>
      <c r="D138" s="4"/>
      <c r="E138" s="4"/>
      <c r="F138" s="4">
        <v>0</v>
      </c>
      <c r="G138" s="4">
        <v>0</v>
      </c>
    </row>
    <row r="139" spans="2:7" x14ac:dyDescent="0.25">
      <c r="B139" s="2" t="s">
        <v>198</v>
      </c>
      <c r="C139" s="3" t="s">
        <v>199</v>
      </c>
      <c r="D139" s="4"/>
      <c r="E139" s="4"/>
      <c r="F139" s="4">
        <f>420+335+633.45</f>
        <v>1388.45</v>
      </c>
      <c r="G139" s="4">
        <v>6437.65</v>
      </c>
    </row>
    <row r="140" spans="2:7" x14ac:dyDescent="0.25">
      <c r="B140" s="2" t="s">
        <v>200</v>
      </c>
      <c r="C140" s="3" t="s">
        <v>201</v>
      </c>
      <c r="D140" s="4"/>
      <c r="E140" s="4"/>
      <c r="F140" s="4">
        <f>6000</f>
        <v>6000</v>
      </c>
      <c r="G140" s="4">
        <v>8000</v>
      </c>
    </row>
    <row r="141" spans="2:7" x14ac:dyDescent="0.25">
      <c r="B141" s="2" t="s">
        <v>202</v>
      </c>
      <c r="C141" s="3" t="s">
        <v>203</v>
      </c>
      <c r="D141" s="4"/>
      <c r="E141" s="4"/>
      <c r="F141" s="4">
        <v>0</v>
      </c>
      <c r="G141" s="4">
        <v>0</v>
      </c>
    </row>
    <row r="142" spans="2:7" x14ac:dyDescent="0.25">
      <c r="B142" s="2" t="s">
        <v>204</v>
      </c>
      <c r="C142" s="3" t="s">
        <v>205</v>
      </c>
      <c r="D142" s="4"/>
      <c r="E142" s="4"/>
      <c r="F142" s="4">
        <f>27207.66+501.39</f>
        <v>27709.05</v>
      </c>
      <c r="G142" s="4">
        <v>40938.74</v>
      </c>
    </row>
    <row r="143" spans="2:7" x14ac:dyDescent="0.25">
      <c r="B143" s="2" t="s">
        <v>206</v>
      </c>
      <c r="C143" s="3" t="s">
        <v>207</v>
      </c>
      <c r="D143" s="4"/>
      <c r="E143" s="4"/>
      <c r="F143" s="4">
        <v>0</v>
      </c>
      <c r="G143" s="4">
        <v>0</v>
      </c>
    </row>
    <row r="144" spans="2:7" x14ac:dyDescent="0.25">
      <c r="B144" s="2" t="s">
        <v>208</v>
      </c>
      <c r="C144" s="3" t="s">
        <v>210</v>
      </c>
      <c r="D144" s="4"/>
      <c r="E144" s="4"/>
      <c r="F144" s="4">
        <f>14327.2</f>
        <v>14327.2</v>
      </c>
      <c r="G144" s="4">
        <v>35910.199999999997</v>
      </c>
    </row>
    <row r="145" spans="2:7" x14ac:dyDescent="0.25">
      <c r="B145" s="2" t="s">
        <v>209</v>
      </c>
      <c r="C145" s="3" t="s">
        <v>156</v>
      </c>
      <c r="D145" s="4"/>
      <c r="E145" s="4"/>
      <c r="F145" s="4">
        <f>1750+230</f>
        <v>1980</v>
      </c>
      <c r="G145" s="4">
        <v>2008.98</v>
      </c>
    </row>
    <row r="146" spans="2:7" x14ac:dyDescent="0.25">
      <c r="B146" s="2" t="s">
        <v>310</v>
      </c>
      <c r="C146" s="3" t="s">
        <v>160</v>
      </c>
      <c r="D146" s="4"/>
      <c r="E146" s="4"/>
      <c r="F146" s="4">
        <v>0</v>
      </c>
      <c r="G146" s="4">
        <v>6240</v>
      </c>
    </row>
    <row r="147" spans="2:7" x14ac:dyDescent="0.25">
      <c r="B147" s="2" t="s">
        <v>311</v>
      </c>
      <c r="C147" s="3" t="s">
        <v>312</v>
      </c>
      <c r="D147" s="4"/>
      <c r="E147" s="4"/>
      <c r="F147" s="4">
        <f>464.39+3449.49</f>
        <v>3913.8799999999997</v>
      </c>
      <c r="G147" s="4">
        <v>11827.16</v>
      </c>
    </row>
    <row r="148" spans="2:7" x14ac:dyDescent="0.25">
      <c r="B148" s="2" t="s">
        <v>212</v>
      </c>
      <c r="C148" s="3" t="s">
        <v>213</v>
      </c>
      <c r="D148" s="4"/>
      <c r="E148" s="4"/>
      <c r="F148" s="24">
        <f>312+104</f>
        <v>416</v>
      </c>
      <c r="G148" s="4">
        <v>6428</v>
      </c>
    </row>
    <row r="149" spans="2:7" x14ac:dyDescent="0.25">
      <c r="B149" s="2" t="s">
        <v>211</v>
      </c>
      <c r="C149" s="3" t="s">
        <v>214</v>
      </c>
      <c r="D149" s="4"/>
      <c r="E149" s="4"/>
      <c r="F149" s="4">
        <v>0</v>
      </c>
      <c r="G149" s="4">
        <v>0</v>
      </c>
    </row>
    <row r="150" spans="2:7" x14ac:dyDescent="0.25">
      <c r="B150" s="14" t="s">
        <v>217</v>
      </c>
      <c r="C150" s="15" t="s">
        <v>236</v>
      </c>
      <c r="D150" s="16">
        <f>8109</f>
        <v>8109</v>
      </c>
      <c r="E150" s="16">
        <f>8109</f>
        <v>8109</v>
      </c>
      <c r="F150" s="16">
        <f>SUM(F151:F152)</f>
        <v>515</v>
      </c>
      <c r="G150" s="16">
        <f>SUM(G151:G152)</f>
        <v>2266</v>
      </c>
    </row>
    <row r="151" spans="2:7" x14ac:dyDescent="0.25">
      <c r="B151" s="2" t="s">
        <v>234</v>
      </c>
      <c r="C151" s="3" t="s">
        <v>237</v>
      </c>
      <c r="D151" s="4"/>
      <c r="E151" s="4"/>
      <c r="F151" s="4">
        <v>515</v>
      </c>
      <c r="G151" s="4">
        <v>927</v>
      </c>
    </row>
    <row r="152" spans="2:7" x14ac:dyDescent="0.25">
      <c r="B152" s="2" t="s">
        <v>235</v>
      </c>
      <c r="C152" s="3" t="s">
        <v>238</v>
      </c>
      <c r="D152" s="4"/>
      <c r="E152" s="4"/>
      <c r="F152" s="4">
        <v>0</v>
      </c>
      <c r="G152" s="4">
        <v>1339</v>
      </c>
    </row>
    <row r="153" spans="2:7" x14ac:dyDescent="0.25">
      <c r="B153" s="14" t="s">
        <v>219</v>
      </c>
      <c r="C153" s="15" t="s">
        <v>313</v>
      </c>
      <c r="D153" s="16">
        <f>35540+60000+5000+38466</f>
        <v>139006</v>
      </c>
      <c r="E153" s="16">
        <f>35540+60000+5000+38466</f>
        <v>139006</v>
      </c>
      <c r="F153" s="16">
        <f>SUM(F154:F158)</f>
        <v>6324.27</v>
      </c>
      <c r="G153" s="16">
        <f>SUM(G154:G158)</f>
        <v>10170.1</v>
      </c>
    </row>
    <row r="154" spans="2:7" x14ac:dyDescent="0.25">
      <c r="B154" s="2" t="s">
        <v>218</v>
      </c>
      <c r="C154" s="3" t="s">
        <v>314</v>
      </c>
      <c r="D154" s="4"/>
      <c r="E154" s="4"/>
      <c r="F154" s="4">
        <v>0</v>
      </c>
      <c r="G154" s="4">
        <v>0</v>
      </c>
    </row>
    <row r="155" spans="2:7" x14ac:dyDescent="0.25">
      <c r="B155" s="2" t="s">
        <v>358</v>
      </c>
      <c r="C155" s="3" t="s">
        <v>359</v>
      </c>
      <c r="D155" s="4"/>
      <c r="E155" s="4"/>
      <c r="F155" s="4">
        <v>0</v>
      </c>
      <c r="G155" s="4">
        <v>0</v>
      </c>
    </row>
    <row r="156" spans="2:7" x14ac:dyDescent="0.25">
      <c r="B156" s="2" t="s">
        <v>315</v>
      </c>
      <c r="C156" s="3" t="s">
        <v>316</v>
      </c>
      <c r="D156" s="4"/>
      <c r="E156" s="4"/>
      <c r="F156" s="4">
        <v>564.94000000000005</v>
      </c>
      <c r="G156" s="4">
        <v>564.94000000000005</v>
      </c>
    </row>
    <row r="157" spans="2:7" x14ac:dyDescent="0.25">
      <c r="B157" s="2" t="s">
        <v>317</v>
      </c>
      <c r="C157" s="3" t="s">
        <v>318</v>
      </c>
      <c r="D157" s="4"/>
      <c r="E157" s="4"/>
      <c r="F157" s="4">
        <v>0</v>
      </c>
      <c r="G157" s="4">
        <v>561.76</v>
      </c>
    </row>
    <row r="158" spans="2:7" x14ac:dyDescent="0.25">
      <c r="B158" s="2" t="s">
        <v>319</v>
      </c>
      <c r="C158" s="3" t="s">
        <v>320</v>
      </c>
      <c r="D158" s="4"/>
      <c r="E158" s="4"/>
      <c r="F158" s="4">
        <f>210+3970.86+1578.47</f>
        <v>5759.3300000000008</v>
      </c>
      <c r="G158" s="4">
        <v>9043.4</v>
      </c>
    </row>
    <row r="159" spans="2:7" x14ac:dyDescent="0.25">
      <c r="B159" s="14" t="s">
        <v>220</v>
      </c>
      <c r="C159" s="15" t="s">
        <v>221</v>
      </c>
      <c r="D159" s="16">
        <f>150000+305000+15590+35000+5000</f>
        <v>510590</v>
      </c>
      <c r="E159" s="16">
        <f>150000+305000+15590+35000+5000</f>
        <v>510590</v>
      </c>
      <c r="F159" s="16">
        <f>F160</f>
        <v>37531.090000000004</v>
      </c>
      <c r="G159" s="16">
        <f>G160</f>
        <v>130681.09</v>
      </c>
    </row>
    <row r="160" spans="2:7" x14ac:dyDescent="0.25">
      <c r="B160" s="2" t="s">
        <v>222</v>
      </c>
      <c r="C160" s="3" t="s">
        <v>223</v>
      </c>
      <c r="D160" s="4"/>
      <c r="E160" s="4"/>
      <c r="F160" s="4">
        <f>28350+2700+4625.29+1855.8</f>
        <v>37531.090000000004</v>
      </c>
      <c r="G160" s="4">
        <v>130681.09</v>
      </c>
    </row>
    <row r="161" spans="2:7" x14ac:dyDescent="0.25">
      <c r="B161" s="14" t="s">
        <v>239</v>
      </c>
      <c r="C161" s="15" t="s">
        <v>240</v>
      </c>
      <c r="D161" s="16">
        <v>51624</v>
      </c>
      <c r="E161" s="16">
        <v>51624</v>
      </c>
      <c r="F161" s="16">
        <f>F162+F163</f>
        <v>2913.2799999999997</v>
      </c>
      <c r="G161" s="16">
        <f>G162+G163</f>
        <v>13138.289999999999</v>
      </c>
    </row>
    <row r="162" spans="2:7" x14ac:dyDescent="0.25">
      <c r="B162" s="2" t="s">
        <v>242</v>
      </c>
      <c r="C162" s="3" t="s">
        <v>241</v>
      </c>
      <c r="D162" s="4"/>
      <c r="E162" s="4"/>
      <c r="F162" s="24">
        <v>623.16</v>
      </c>
      <c r="G162" s="4">
        <v>2492.64</v>
      </c>
    </row>
    <row r="163" spans="2:7" x14ac:dyDescent="0.25">
      <c r="B163" s="2" t="s">
        <v>243</v>
      </c>
      <c r="C163" s="3" t="s">
        <v>244</v>
      </c>
      <c r="D163" s="4"/>
      <c r="E163" s="4"/>
      <c r="F163" s="4">
        <v>2290.12</v>
      </c>
      <c r="G163" s="4">
        <v>10645.65</v>
      </c>
    </row>
    <row r="164" spans="2:7" x14ac:dyDescent="0.25">
      <c r="B164" s="14" t="s">
        <v>245</v>
      </c>
      <c r="C164" s="15" t="s">
        <v>88</v>
      </c>
      <c r="D164" s="16">
        <v>291000</v>
      </c>
      <c r="E164" s="16">
        <v>291000</v>
      </c>
      <c r="F164" s="16">
        <f>SUM(F165:F167)</f>
        <v>0</v>
      </c>
      <c r="G164" s="16">
        <f>SUM(G165:G167)</f>
        <v>0</v>
      </c>
    </row>
    <row r="165" spans="2:7" x14ac:dyDescent="0.25">
      <c r="B165" s="2" t="s">
        <v>246</v>
      </c>
      <c r="C165" s="3" t="s">
        <v>247</v>
      </c>
      <c r="D165" s="4"/>
      <c r="E165" s="4"/>
      <c r="F165" s="4">
        <v>0</v>
      </c>
      <c r="G165" s="4">
        <v>0</v>
      </c>
    </row>
    <row r="166" spans="2:7" x14ac:dyDescent="0.25">
      <c r="B166" s="2" t="s">
        <v>248</v>
      </c>
      <c r="C166" s="3" t="s">
        <v>249</v>
      </c>
      <c r="D166" s="4"/>
      <c r="E166" s="4"/>
      <c r="F166" s="4">
        <v>0</v>
      </c>
      <c r="G166" s="4">
        <v>0</v>
      </c>
    </row>
    <row r="167" spans="2:7" x14ac:dyDescent="0.25">
      <c r="B167" s="2" t="s">
        <v>250</v>
      </c>
      <c r="C167" s="3" t="s">
        <v>251</v>
      </c>
      <c r="D167" s="4"/>
      <c r="E167" s="4"/>
      <c r="F167" s="4">
        <v>0</v>
      </c>
      <c r="G167" s="4">
        <v>0</v>
      </c>
    </row>
    <row r="168" spans="2:7" x14ac:dyDescent="0.25">
      <c r="B168" s="11" t="s">
        <v>344</v>
      </c>
      <c r="C168" s="15" t="s">
        <v>345</v>
      </c>
      <c r="D168" s="16">
        <f>150000+150000</f>
        <v>300000</v>
      </c>
      <c r="E168" s="16">
        <f>150000+150000</f>
        <v>300000</v>
      </c>
      <c r="F168" s="16">
        <f>SUM(F169)</f>
        <v>0</v>
      </c>
      <c r="G168" s="16">
        <f>SUM(G169)</f>
        <v>0</v>
      </c>
    </row>
    <row r="169" spans="2:7" x14ac:dyDescent="0.25">
      <c r="B169" s="2" t="s">
        <v>346</v>
      </c>
      <c r="C169" s="3" t="s">
        <v>347</v>
      </c>
      <c r="D169" s="4"/>
      <c r="E169" s="4"/>
      <c r="F169" s="4">
        <v>0</v>
      </c>
      <c r="G169" s="4">
        <v>0</v>
      </c>
    </row>
    <row r="170" spans="2:7" x14ac:dyDescent="0.25">
      <c r="B170" s="6" t="s">
        <v>252</v>
      </c>
      <c r="C170" s="7" t="s">
        <v>78</v>
      </c>
      <c r="D170" s="4">
        <f>D171+D173</f>
        <v>63510</v>
      </c>
      <c r="E170" s="4">
        <f>E171+E173</f>
        <v>63510</v>
      </c>
      <c r="F170" s="4">
        <f>F171+F173</f>
        <v>0</v>
      </c>
      <c r="G170" s="4">
        <f>G171+G173</f>
        <v>0</v>
      </c>
    </row>
    <row r="171" spans="2:7" x14ac:dyDescent="0.25">
      <c r="B171" s="14" t="s">
        <v>253</v>
      </c>
      <c r="C171" s="15" t="s">
        <v>168</v>
      </c>
      <c r="D171" s="16">
        <v>53150</v>
      </c>
      <c r="E171" s="16">
        <v>53150</v>
      </c>
      <c r="F171" s="16">
        <f>F172</f>
        <v>0</v>
      </c>
      <c r="G171" s="16">
        <f>G172</f>
        <v>0</v>
      </c>
    </row>
    <row r="172" spans="2:7" x14ac:dyDescent="0.25">
      <c r="B172" s="6" t="s">
        <v>254</v>
      </c>
      <c r="C172" s="3" t="s">
        <v>360</v>
      </c>
      <c r="D172" s="4"/>
      <c r="E172" s="4"/>
      <c r="F172" s="4">
        <v>0</v>
      </c>
      <c r="G172" s="4">
        <v>0</v>
      </c>
    </row>
    <row r="173" spans="2:7" x14ac:dyDescent="0.25">
      <c r="B173" s="14" t="s">
        <v>321</v>
      </c>
      <c r="C173" s="15" t="s">
        <v>313</v>
      </c>
      <c r="D173" s="16">
        <f>10360</f>
        <v>10360</v>
      </c>
      <c r="E173" s="16">
        <f>10360</f>
        <v>10360</v>
      </c>
      <c r="F173" s="16">
        <f>SUM(F174)</f>
        <v>0</v>
      </c>
      <c r="G173" s="16">
        <f>SUM(G174)</f>
        <v>0</v>
      </c>
    </row>
    <row r="174" spans="2:7" x14ac:dyDescent="0.25">
      <c r="B174" s="6" t="s">
        <v>322</v>
      </c>
      <c r="C174" s="3" t="s">
        <v>314</v>
      </c>
      <c r="D174" s="4"/>
      <c r="E174" s="4"/>
      <c r="F174" s="4">
        <v>0</v>
      </c>
      <c r="G174" s="4">
        <v>0</v>
      </c>
    </row>
    <row r="175" spans="2:7" x14ac:dyDescent="0.25">
      <c r="B175" s="11" t="s">
        <v>323</v>
      </c>
      <c r="C175" s="12" t="s">
        <v>324</v>
      </c>
      <c r="D175" s="13">
        <f>D178+D180</f>
        <v>2657690</v>
      </c>
      <c r="E175" s="13">
        <f>E178+E180</f>
        <v>10357690</v>
      </c>
      <c r="F175" s="13">
        <f>F178+F180</f>
        <v>2552.85</v>
      </c>
      <c r="G175" s="13">
        <f>G178+G180</f>
        <v>6902156.4500000002</v>
      </c>
    </row>
    <row r="176" spans="2:7" x14ac:dyDescent="0.25">
      <c r="B176" s="2" t="s">
        <v>325</v>
      </c>
      <c r="C176" s="3" t="s">
        <v>326</v>
      </c>
      <c r="D176" s="4">
        <f>D178+D180</f>
        <v>2657690</v>
      </c>
      <c r="E176" s="4">
        <f>E178+E180</f>
        <v>10357690</v>
      </c>
      <c r="F176" s="4">
        <f>F178+F180</f>
        <v>2552.85</v>
      </c>
      <c r="G176" s="4">
        <f>G178+G180</f>
        <v>6902156.4500000002</v>
      </c>
    </row>
    <row r="177" spans="2:7" x14ac:dyDescent="0.25">
      <c r="B177" s="2" t="s">
        <v>327</v>
      </c>
      <c r="C177" s="3" t="s">
        <v>13</v>
      </c>
      <c r="D177" s="4">
        <f>D178+D180</f>
        <v>2657690</v>
      </c>
      <c r="E177" s="4">
        <f>E178+E180</f>
        <v>10357690</v>
      </c>
      <c r="F177" s="4">
        <f>F178+F180</f>
        <v>2552.85</v>
      </c>
      <c r="G177" s="4">
        <f>G178+G180</f>
        <v>6902156.4500000002</v>
      </c>
    </row>
    <row r="178" spans="2:7" x14ac:dyDescent="0.25">
      <c r="B178" s="14" t="s">
        <v>255</v>
      </c>
      <c r="C178" s="15" t="s">
        <v>256</v>
      </c>
      <c r="D178" s="16">
        <v>0</v>
      </c>
      <c r="E178" s="16">
        <v>7700000</v>
      </c>
      <c r="F178" s="16">
        <f>F179</f>
        <v>0</v>
      </c>
      <c r="G178" s="16">
        <f>G179</f>
        <v>6885124.75</v>
      </c>
    </row>
    <row r="179" spans="2:7" x14ac:dyDescent="0.25">
      <c r="B179" s="6" t="s">
        <v>257</v>
      </c>
      <c r="C179" s="7" t="s">
        <v>258</v>
      </c>
      <c r="D179" s="4"/>
      <c r="E179" s="4"/>
      <c r="F179" s="4">
        <v>0</v>
      </c>
      <c r="G179" s="4">
        <v>6885124.75</v>
      </c>
    </row>
    <row r="180" spans="2:7" x14ac:dyDescent="0.25">
      <c r="B180" s="14" t="s">
        <v>328</v>
      </c>
      <c r="C180" s="15" t="s">
        <v>329</v>
      </c>
      <c r="D180" s="16">
        <f>129190+1028500+1500000</f>
        <v>2657690</v>
      </c>
      <c r="E180" s="16">
        <f>129190+1028500+1500000</f>
        <v>2657690</v>
      </c>
      <c r="F180" s="16">
        <f>SUM(F183:F191)</f>
        <v>2552.85</v>
      </c>
      <c r="G180" s="16">
        <f>SUM(G181:G191)</f>
        <v>17031.7</v>
      </c>
    </row>
    <row r="181" spans="2:7" x14ac:dyDescent="0.25">
      <c r="B181" s="6" t="s">
        <v>352</v>
      </c>
      <c r="C181" s="7" t="s">
        <v>353</v>
      </c>
      <c r="D181" s="8"/>
      <c r="E181" s="8"/>
      <c r="F181" s="8">
        <v>0</v>
      </c>
      <c r="G181" s="8">
        <v>0</v>
      </c>
    </row>
    <row r="182" spans="2:7" x14ac:dyDescent="0.25">
      <c r="B182" s="6" t="s">
        <v>348</v>
      </c>
      <c r="C182" s="7" t="s">
        <v>349</v>
      </c>
      <c r="D182" s="5"/>
      <c r="E182" s="5"/>
      <c r="F182" s="8">
        <v>0</v>
      </c>
      <c r="G182" s="8">
        <v>0</v>
      </c>
    </row>
    <row r="183" spans="2:7" x14ac:dyDescent="0.25">
      <c r="B183" s="6" t="s">
        <v>330</v>
      </c>
      <c r="C183" s="7" t="s">
        <v>331</v>
      </c>
      <c r="D183" s="4"/>
      <c r="E183" s="4"/>
      <c r="F183" s="4">
        <v>0</v>
      </c>
      <c r="G183" s="4">
        <v>638</v>
      </c>
    </row>
    <row r="184" spans="2:7" x14ac:dyDescent="0.25">
      <c r="B184" s="6" t="s">
        <v>354</v>
      </c>
      <c r="C184" s="7" t="s">
        <v>355</v>
      </c>
      <c r="D184" s="4"/>
      <c r="E184" s="4"/>
      <c r="F184" s="4">
        <v>0</v>
      </c>
      <c r="G184" s="4">
        <v>0</v>
      </c>
    </row>
    <row r="185" spans="2:7" x14ac:dyDescent="0.25">
      <c r="B185" s="6" t="s">
        <v>356</v>
      </c>
      <c r="C185" s="7" t="s">
        <v>357</v>
      </c>
      <c r="D185" s="4"/>
      <c r="E185" s="4"/>
      <c r="F185" s="4">
        <v>0</v>
      </c>
      <c r="G185" s="4">
        <v>0</v>
      </c>
    </row>
    <row r="186" spans="2:7" x14ac:dyDescent="0.25">
      <c r="B186" s="6" t="s">
        <v>332</v>
      </c>
      <c r="C186" s="7" t="s">
        <v>333</v>
      </c>
      <c r="D186" s="4"/>
      <c r="E186" s="4"/>
      <c r="F186" s="4">
        <f>1492.85</f>
        <v>1492.85</v>
      </c>
      <c r="G186" s="4">
        <v>9410.76</v>
      </c>
    </row>
    <row r="187" spans="2:7" x14ac:dyDescent="0.25">
      <c r="B187" s="6" t="s">
        <v>335</v>
      </c>
      <c r="C187" s="7" t="s">
        <v>334</v>
      </c>
      <c r="D187" s="4"/>
      <c r="E187" s="4"/>
      <c r="F187" s="9">
        <v>300</v>
      </c>
      <c r="G187" s="4">
        <v>3885.11</v>
      </c>
    </row>
    <row r="188" spans="2:7" x14ac:dyDescent="0.25">
      <c r="B188" s="2" t="s">
        <v>336</v>
      </c>
      <c r="C188" s="7" t="s">
        <v>337</v>
      </c>
      <c r="D188" s="4"/>
      <c r="E188" s="4"/>
      <c r="F188" s="4">
        <v>0</v>
      </c>
      <c r="G188" s="4">
        <v>0</v>
      </c>
    </row>
    <row r="189" spans="2:7" x14ac:dyDescent="0.25">
      <c r="B189" s="6" t="s">
        <v>339</v>
      </c>
      <c r="C189" s="7" t="s">
        <v>338</v>
      </c>
      <c r="D189" s="4"/>
      <c r="E189" s="4"/>
      <c r="F189" s="4">
        <v>760</v>
      </c>
      <c r="G189" s="4">
        <v>3097.83</v>
      </c>
    </row>
    <row r="190" spans="2:7" x14ac:dyDescent="0.25">
      <c r="B190" s="6" t="s">
        <v>340</v>
      </c>
      <c r="C190" s="7" t="s">
        <v>341</v>
      </c>
      <c r="D190" s="4"/>
      <c r="E190" s="4"/>
      <c r="F190" s="4">
        <v>0</v>
      </c>
      <c r="G190" s="4">
        <v>0</v>
      </c>
    </row>
    <row r="191" spans="2:7" x14ac:dyDescent="0.25">
      <c r="B191" s="6" t="s">
        <v>343</v>
      </c>
      <c r="C191" s="7" t="s">
        <v>342</v>
      </c>
      <c r="D191" s="4"/>
      <c r="E191" s="4"/>
      <c r="F191" s="4">
        <v>0</v>
      </c>
      <c r="G191" s="4">
        <v>0</v>
      </c>
    </row>
    <row r="192" spans="2:7" ht="30" customHeight="1" x14ac:dyDescent="0.25">
      <c r="B192" s="29" t="s">
        <v>361</v>
      </c>
      <c r="C192" s="30"/>
      <c r="D192" s="17">
        <f>D175+D9</f>
        <v>79327228</v>
      </c>
      <c r="E192" s="17">
        <f>E175+E9</f>
        <v>95669455</v>
      </c>
      <c r="F192" s="17">
        <f>F175+F9</f>
        <v>8094017.5199999986</v>
      </c>
      <c r="G192" s="17">
        <f>G175+G9</f>
        <v>33165897.260000002</v>
      </c>
    </row>
    <row r="194" spans="2:7" x14ac:dyDescent="0.25">
      <c r="B194" s="1"/>
      <c r="D194" s="9"/>
      <c r="E194" s="9"/>
      <c r="F194" s="9"/>
      <c r="G194" s="9"/>
    </row>
    <row r="195" spans="2:7" x14ac:dyDescent="0.25">
      <c r="B195" s="1"/>
      <c r="D195" s="9"/>
      <c r="E195" s="9"/>
      <c r="F195" s="9"/>
      <c r="G195" s="9"/>
    </row>
    <row r="196" spans="2:7" x14ac:dyDescent="0.25">
      <c r="B196" s="1"/>
      <c r="D196" s="9"/>
      <c r="E196" s="9"/>
      <c r="F196" s="9"/>
      <c r="G196" s="9"/>
    </row>
    <row r="197" spans="2:7" x14ac:dyDescent="0.25">
      <c r="B197" s="1"/>
      <c r="D197" s="9"/>
      <c r="E197" s="9"/>
      <c r="F197" s="9"/>
      <c r="G197" s="9"/>
    </row>
    <row r="198" spans="2:7" x14ac:dyDescent="0.25">
      <c r="B198" s="1"/>
      <c r="D198" s="9"/>
      <c r="E198" s="9"/>
      <c r="F198" s="9"/>
      <c r="G198" s="9"/>
    </row>
    <row r="199" spans="2:7" x14ac:dyDescent="0.25">
      <c r="B199" s="1"/>
      <c r="D199" s="9"/>
      <c r="E199" s="9"/>
      <c r="F199" s="9"/>
      <c r="G199" s="9"/>
    </row>
    <row r="200" spans="2:7" x14ac:dyDescent="0.25">
      <c r="B200" s="1"/>
      <c r="D200" s="9"/>
      <c r="E200" s="9"/>
      <c r="F200" s="9"/>
      <c r="G200" s="9"/>
    </row>
    <row r="201" spans="2:7" x14ac:dyDescent="0.25">
      <c r="B201" s="1"/>
      <c r="D201" s="9"/>
      <c r="E201" s="9"/>
      <c r="F201" s="9"/>
      <c r="G201" s="9"/>
    </row>
    <row r="202" spans="2:7" x14ac:dyDescent="0.25">
      <c r="B202" s="1"/>
      <c r="D202" s="9"/>
      <c r="E202" s="9"/>
      <c r="F202" s="9"/>
      <c r="G202" s="9"/>
    </row>
    <row r="203" spans="2:7" x14ac:dyDescent="0.25">
      <c r="B203" s="1"/>
      <c r="D203" s="9"/>
      <c r="E203" s="9"/>
      <c r="F203" s="9"/>
      <c r="G203" s="9"/>
    </row>
    <row r="204" spans="2:7" x14ac:dyDescent="0.25">
      <c r="B204" s="1"/>
      <c r="D204" s="9"/>
      <c r="E204" s="9"/>
      <c r="F204" s="9"/>
      <c r="G204" s="9"/>
    </row>
    <row r="205" spans="2:7" x14ac:dyDescent="0.25">
      <c r="B205" s="1"/>
      <c r="D205" s="9"/>
      <c r="E205" s="9"/>
      <c r="F205" s="9"/>
      <c r="G205" s="9"/>
    </row>
    <row r="206" spans="2:7" x14ac:dyDescent="0.25">
      <c r="B206" s="1"/>
      <c r="D206" s="9"/>
      <c r="E206" s="9"/>
      <c r="F206" s="9"/>
      <c r="G206" s="9"/>
    </row>
    <row r="207" spans="2:7" x14ac:dyDescent="0.25">
      <c r="B207" s="1"/>
      <c r="D207" s="9"/>
      <c r="E207" s="9"/>
      <c r="F207" s="9"/>
      <c r="G207" s="9"/>
    </row>
    <row r="208" spans="2:7" x14ac:dyDescent="0.25">
      <c r="B208" s="1"/>
      <c r="D208" s="9"/>
      <c r="E208" s="9"/>
      <c r="F208" s="9"/>
      <c r="G208" s="9"/>
    </row>
    <row r="209" spans="2:7" x14ac:dyDescent="0.25">
      <c r="B209" s="1"/>
      <c r="D209" s="9"/>
      <c r="E209" s="9"/>
      <c r="F209" s="9"/>
      <c r="G209" s="9"/>
    </row>
    <row r="210" spans="2:7" x14ac:dyDescent="0.25">
      <c r="B210" s="1"/>
      <c r="D210" s="9"/>
      <c r="E210" s="9"/>
      <c r="F210" s="9"/>
      <c r="G210" s="9"/>
    </row>
    <row r="211" spans="2:7" x14ac:dyDescent="0.25">
      <c r="B211" s="1"/>
      <c r="D211" s="9"/>
      <c r="E211" s="9"/>
      <c r="F211" s="9"/>
      <c r="G211" s="9"/>
    </row>
    <row r="212" spans="2:7" x14ac:dyDescent="0.25">
      <c r="B212" s="1"/>
      <c r="D212" s="9"/>
      <c r="E212" s="9"/>
      <c r="F212" s="9"/>
      <c r="G212" s="9"/>
    </row>
    <row r="213" spans="2:7" x14ac:dyDescent="0.25">
      <c r="B213" s="1"/>
      <c r="D213" s="9"/>
      <c r="E213" s="9"/>
      <c r="F213" s="9"/>
      <c r="G213" s="9"/>
    </row>
    <row r="214" spans="2:7" x14ac:dyDescent="0.25">
      <c r="B214" s="1"/>
      <c r="D214" s="9"/>
      <c r="E214" s="9"/>
      <c r="F214" s="9"/>
      <c r="G214" s="9"/>
    </row>
    <row r="215" spans="2:7" x14ac:dyDescent="0.25">
      <c r="B215" s="1"/>
    </row>
    <row r="216" spans="2:7" x14ac:dyDescent="0.25">
      <c r="B216" s="1"/>
    </row>
    <row r="217" spans="2:7" x14ac:dyDescent="0.25">
      <c r="B217" s="1"/>
    </row>
    <row r="218" spans="2:7" x14ac:dyDescent="0.25">
      <c r="B218" s="1"/>
    </row>
    <row r="219" spans="2:7" x14ac:dyDescent="0.25">
      <c r="B219" s="1"/>
    </row>
    <row r="220" spans="2:7" x14ac:dyDescent="0.25">
      <c r="B220" s="1"/>
    </row>
    <row r="221" spans="2:7" x14ac:dyDescent="0.25">
      <c r="B221" s="1"/>
    </row>
    <row r="222" spans="2:7" x14ac:dyDescent="0.25">
      <c r="B222" s="1"/>
    </row>
    <row r="223" spans="2:7" x14ac:dyDescent="0.25">
      <c r="B223" s="1"/>
    </row>
    <row r="224" spans="2:7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</sheetData>
  <mergeCells count="7">
    <mergeCell ref="B2:G2"/>
    <mergeCell ref="B4:G4"/>
    <mergeCell ref="B6:G6"/>
    <mergeCell ref="B1:G1"/>
    <mergeCell ref="B192:C192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workbookViewId="0">
      <selection activeCell="H1" sqref="H1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  <col min="8" max="8" width="12.42578125" customWidth="1"/>
  </cols>
  <sheetData>
    <row r="1" spans="2:8" ht="18.75" x14ac:dyDescent="0.3">
      <c r="B1" s="28" t="s">
        <v>66</v>
      </c>
      <c r="C1" s="28"/>
      <c r="D1" s="28"/>
      <c r="E1" s="28"/>
      <c r="F1" s="28"/>
    </row>
    <row r="2" spans="2:8" x14ac:dyDescent="0.25">
      <c r="B2" s="26"/>
      <c r="C2" s="26"/>
      <c r="D2" s="26"/>
      <c r="E2" s="26"/>
      <c r="F2" s="26"/>
    </row>
    <row r="3" spans="2:8" ht="17.25" x14ac:dyDescent="0.3">
      <c r="B3" s="32" t="s">
        <v>0</v>
      </c>
      <c r="C3" s="32"/>
      <c r="D3" s="32"/>
      <c r="E3" s="32"/>
      <c r="F3" s="32"/>
    </row>
    <row r="4" spans="2:8" x14ac:dyDescent="0.25">
      <c r="B4" s="26"/>
      <c r="C4" s="26"/>
      <c r="D4" s="26"/>
      <c r="E4" s="26"/>
      <c r="F4" s="26"/>
    </row>
    <row r="5" spans="2:8" ht="15.75" x14ac:dyDescent="0.25">
      <c r="B5" s="31" t="s">
        <v>362</v>
      </c>
      <c r="C5" s="31"/>
      <c r="D5" s="31"/>
      <c r="E5" s="31"/>
      <c r="F5" s="31"/>
    </row>
    <row r="6" spans="2:8" ht="15.75" x14ac:dyDescent="0.25">
      <c r="B6" s="27" t="s">
        <v>424</v>
      </c>
      <c r="C6" s="27"/>
      <c r="D6" s="27"/>
      <c r="E6" s="27"/>
      <c r="F6" s="27"/>
    </row>
    <row r="8" spans="2:8" ht="30" customHeight="1" x14ac:dyDescent="0.25">
      <c r="B8" s="10" t="s">
        <v>2</v>
      </c>
      <c r="C8" s="10" t="s">
        <v>3</v>
      </c>
      <c r="D8" s="10" t="s">
        <v>363</v>
      </c>
      <c r="E8" s="10" t="s">
        <v>364</v>
      </c>
      <c r="F8" s="10" t="s">
        <v>365</v>
      </c>
    </row>
    <row r="9" spans="2:8" ht="20.100000000000001" customHeight="1" x14ac:dyDescent="0.25">
      <c r="B9" s="14" t="s">
        <v>366</v>
      </c>
      <c r="C9" s="15" t="s">
        <v>367</v>
      </c>
      <c r="D9" s="16">
        <f>D10+D21+D24+D27</f>
        <v>4969980</v>
      </c>
      <c r="E9" s="16">
        <f>E10+E21+E24+E27</f>
        <v>130814.36</v>
      </c>
      <c r="F9" s="16">
        <f>F10+F21+F24+F27</f>
        <v>669595.48</v>
      </c>
      <c r="H9" s="9"/>
    </row>
    <row r="10" spans="2:8" ht="20.100000000000001" customHeight="1" x14ac:dyDescent="0.25">
      <c r="B10" s="18" t="s">
        <v>368</v>
      </c>
      <c r="C10" s="19" t="s">
        <v>369</v>
      </c>
      <c r="D10" s="20">
        <f>D11+D16</f>
        <v>561990</v>
      </c>
      <c r="E10" s="20">
        <f>E11+E16</f>
        <v>12611.51</v>
      </c>
      <c r="F10" s="20">
        <f>F11+F16</f>
        <v>100826.3</v>
      </c>
    </row>
    <row r="11" spans="2:8" ht="20.100000000000001" customHeight="1" x14ac:dyDescent="0.25">
      <c r="B11" s="2" t="s">
        <v>370</v>
      </c>
      <c r="C11" s="3" t="s">
        <v>371</v>
      </c>
      <c r="D11" s="4">
        <f t="shared" ref="D11:F13" si="0">D12</f>
        <v>163590</v>
      </c>
      <c r="E11" s="4">
        <f t="shared" si="0"/>
        <v>3971.31</v>
      </c>
      <c r="F11" s="4">
        <f t="shared" si="0"/>
        <v>76730.42</v>
      </c>
    </row>
    <row r="12" spans="2:8" ht="20.100000000000001" customHeight="1" x14ac:dyDescent="0.25">
      <c r="B12" s="21" t="s">
        <v>372</v>
      </c>
      <c r="C12" s="22" t="s">
        <v>373</v>
      </c>
      <c r="D12" s="23">
        <f t="shared" si="0"/>
        <v>163590</v>
      </c>
      <c r="E12" s="23">
        <f t="shared" si="0"/>
        <v>3971.31</v>
      </c>
      <c r="F12" s="23">
        <f t="shared" si="0"/>
        <v>76730.42</v>
      </c>
    </row>
    <row r="13" spans="2:8" ht="20.100000000000001" customHeight="1" x14ac:dyDescent="0.25">
      <c r="B13" s="21" t="s">
        <v>374</v>
      </c>
      <c r="C13" s="22" t="s">
        <v>375</v>
      </c>
      <c r="D13" s="23">
        <f t="shared" si="0"/>
        <v>163590</v>
      </c>
      <c r="E13" s="23">
        <f t="shared" si="0"/>
        <v>3971.31</v>
      </c>
      <c r="F13" s="23">
        <f t="shared" si="0"/>
        <v>76730.42</v>
      </c>
    </row>
    <row r="14" spans="2:8" ht="20.100000000000001" customHeight="1" x14ac:dyDescent="0.25">
      <c r="B14" s="21" t="s">
        <v>376</v>
      </c>
      <c r="C14" s="22" t="s">
        <v>377</v>
      </c>
      <c r="D14" s="23">
        <v>163590</v>
      </c>
      <c r="E14" s="23">
        <f>2779.91+1191.4</f>
        <v>3971.31</v>
      </c>
      <c r="F14" s="23">
        <v>76730.42</v>
      </c>
      <c r="H14" s="9"/>
    </row>
    <row r="15" spans="2:8" ht="20.100000000000001" customHeight="1" x14ac:dyDescent="0.25">
      <c r="B15" s="2" t="s">
        <v>378</v>
      </c>
      <c r="C15" s="3" t="s">
        <v>379</v>
      </c>
      <c r="D15" s="4">
        <f>D16</f>
        <v>398400</v>
      </c>
      <c r="E15" s="4">
        <f>E16</f>
        <v>8640.2000000000007</v>
      </c>
      <c r="F15" s="4">
        <f>F16</f>
        <v>24095.88</v>
      </c>
      <c r="H15" s="9"/>
    </row>
    <row r="16" spans="2:8" ht="20.100000000000001" customHeight="1" x14ac:dyDescent="0.25">
      <c r="B16" s="2" t="s">
        <v>380</v>
      </c>
      <c r="C16" s="3" t="s">
        <v>381</v>
      </c>
      <c r="D16" s="4">
        <f>D17+D18+D19+D20</f>
        <v>398400</v>
      </c>
      <c r="E16" s="4">
        <f>E17+E18+E19+E20</f>
        <v>8640.2000000000007</v>
      </c>
      <c r="F16" s="4">
        <f>F17+F18+F19+F20</f>
        <v>24095.88</v>
      </c>
      <c r="H16" s="9"/>
    </row>
    <row r="17" spans="2:8" ht="20.100000000000001" customHeight="1" x14ac:dyDescent="0.25">
      <c r="B17" s="2" t="s">
        <v>382</v>
      </c>
      <c r="C17" s="3" t="s">
        <v>383</v>
      </c>
      <c r="D17" s="4">
        <v>87500</v>
      </c>
      <c r="E17" s="9">
        <f>1565.88</f>
        <v>1565.88</v>
      </c>
      <c r="F17" s="4">
        <v>6486.96</v>
      </c>
      <c r="H17" s="9"/>
    </row>
    <row r="18" spans="2:8" ht="20.100000000000001" customHeight="1" x14ac:dyDescent="0.25">
      <c r="B18" s="2" t="s">
        <v>384</v>
      </c>
      <c r="C18" s="3" t="s">
        <v>385</v>
      </c>
      <c r="D18" s="4">
        <v>136300</v>
      </c>
      <c r="E18" s="4">
        <f>5416</f>
        <v>5416</v>
      </c>
      <c r="F18" s="4">
        <v>12229.53</v>
      </c>
      <c r="H18" s="9"/>
    </row>
    <row r="19" spans="2:8" ht="20.100000000000001" customHeight="1" x14ac:dyDescent="0.25">
      <c r="B19" s="2" t="s">
        <v>386</v>
      </c>
      <c r="C19" s="3" t="s">
        <v>387</v>
      </c>
      <c r="D19" s="4">
        <v>85000</v>
      </c>
      <c r="E19" s="9">
        <f>1658.32</f>
        <v>1658.32</v>
      </c>
      <c r="F19" s="4">
        <v>5379.39</v>
      </c>
      <c r="H19" s="9"/>
    </row>
    <row r="20" spans="2:8" ht="20.100000000000001" customHeight="1" x14ac:dyDescent="0.25">
      <c r="B20" s="2" t="s">
        <v>388</v>
      </c>
      <c r="C20" s="3" t="s">
        <v>389</v>
      </c>
      <c r="D20" s="4">
        <v>89600</v>
      </c>
      <c r="E20" s="4">
        <v>0</v>
      </c>
      <c r="F20" s="4">
        <v>0</v>
      </c>
      <c r="H20" s="9"/>
    </row>
    <row r="21" spans="2:8" ht="20.100000000000001" customHeight="1" x14ac:dyDescent="0.25">
      <c r="B21" s="2" t="s">
        <v>390</v>
      </c>
      <c r="C21" s="3" t="s">
        <v>391</v>
      </c>
      <c r="D21" s="4">
        <f>D22+D23</f>
        <v>451990</v>
      </c>
      <c r="E21" s="4">
        <f>E22+E23</f>
        <v>15788.039999999999</v>
      </c>
      <c r="F21" s="4">
        <f>F22+F23</f>
        <v>51975.79</v>
      </c>
      <c r="H21" s="9"/>
    </row>
    <row r="22" spans="2:8" ht="20.100000000000001" customHeight="1" x14ac:dyDescent="0.25">
      <c r="B22" s="2" t="s">
        <v>392</v>
      </c>
      <c r="C22" s="3" t="s">
        <v>393</v>
      </c>
      <c r="D22" s="4">
        <v>231000</v>
      </c>
      <c r="E22" s="4">
        <v>0</v>
      </c>
      <c r="F22" s="4">
        <v>0</v>
      </c>
      <c r="H22" s="9"/>
    </row>
    <row r="23" spans="2:8" ht="20.100000000000001" customHeight="1" x14ac:dyDescent="0.25">
      <c r="B23" s="2" t="s">
        <v>394</v>
      </c>
      <c r="C23" s="3" t="s">
        <v>395</v>
      </c>
      <c r="D23" s="4">
        <v>220990</v>
      </c>
      <c r="E23" s="4">
        <f>11051.63+4736.41</f>
        <v>15788.039999999999</v>
      </c>
      <c r="F23" s="4">
        <v>51975.79</v>
      </c>
      <c r="H23" s="9"/>
    </row>
    <row r="24" spans="2:8" ht="20.100000000000001" customHeight="1" x14ac:dyDescent="0.25">
      <c r="B24" s="2" t="s">
        <v>396</v>
      </c>
      <c r="C24" s="3" t="s">
        <v>397</v>
      </c>
      <c r="D24" s="4">
        <f>D25+D26</f>
        <v>1246000</v>
      </c>
      <c r="E24" s="4">
        <f>E25+E26</f>
        <v>102414.81</v>
      </c>
      <c r="F24" s="4">
        <f>F25+F26</f>
        <v>332793.39</v>
      </c>
      <c r="H24" s="9"/>
    </row>
    <row r="25" spans="2:8" ht="20.100000000000001" customHeight="1" x14ac:dyDescent="0.25">
      <c r="B25" s="2" t="s">
        <v>398</v>
      </c>
      <c r="C25" s="3" t="s">
        <v>399</v>
      </c>
      <c r="D25" s="4">
        <v>1120000</v>
      </c>
      <c r="E25" s="4">
        <f>53581.38+22963.43</f>
        <v>76544.81</v>
      </c>
      <c r="F25" s="4">
        <v>252893.39</v>
      </c>
      <c r="H25" s="9"/>
    </row>
    <row r="26" spans="2:8" ht="20.100000000000001" customHeight="1" x14ac:dyDescent="0.25">
      <c r="B26" s="21" t="s">
        <v>400</v>
      </c>
      <c r="C26" s="22" t="s">
        <v>401</v>
      </c>
      <c r="D26" s="23">
        <v>126000</v>
      </c>
      <c r="E26" s="23">
        <f>18109+7761</f>
        <v>25870</v>
      </c>
      <c r="F26" s="23">
        <v>79900</v>
      </c>
      <c r="H26" s="9"/>
    </row>
    <row r="27" spans="2:8" ht="20.100000000000001" customHeight="1" x14ac:dyDescent="0.25">
      <c r="B27" s="2" t="s">
        <v>402</v>
      </c>
      <c r="C27" s="3" t="s">
        <v>403</v>
      </c>
      <c r="D27" s="4">
        <f>D28</f>
        <v>2710000</v>
      </c>
      <c r="E27" s="4">
        <f>E28</f>
        <v>0</v>
      </c>
      <c r="F27" s="4">
        <f>F28</f>
        <v>184000</v>
      </c>
      <c r="H27" s="9"/>
    </row>
    <row r="28" spans="2:8" ht="20.100000000000001" customHeight="1" x14ac:dyDescent="0.25">
      <c r="B28" s="21" t="s">
        <v>404</v>
      </c>
      <c r="C28" s="22" t="s">
        <v>405</v>
      </c>
      <c r="D28" s="23">
        <f>D29+D31</f>
        <v>2710000</v>
      </c>
      <c r="E28" s="23">
        <f>E29+E31</f>
        <v>0</v>
      </c>
      <c r="F28" s="23">
        <f>F29+F31</f>
        <v>184000</v>
      </c>
      <c r="H28" s="9"/>
    </row>
    <row r="29" spans="2:8" ht="20.100000000000001" customHeight="1" x14ac:dyDescent="0.25">
      <c r="B29" s="6" t="s">
        <v>406</v>
      </c>
      <c r="C29" s="7" t="s">
        <v>407</v>
      </c>
      <c r="D29" s="8">
        <f>D30</f>
        <v>1210000</v>
      </c>
      <c r="E29" s="8">
        <f>E30</f>
        <v>0</v>
      </c>
      <c r="F29" s="8">
        <f>F30</f>
        <v>0</v>
      </c>
      <c r="H29" s="9"/>
    </row>
    <row r="30" spans="2:8" ht="20.100000000000001" customHeight="1" x14ac:dyDescent="0.25">
      <c r="B30" s="6" t="s">
        <v>408</v>
      </c>
      <c r="C30" s="7" t="s">
        <v>409</v>
      </c>
      <c r="D30" s="8">
        <v>1210000</v>
      </c>
      <c r="E30" s="8">
        <v>0</v>
      </c>
      <c r="F30" s="4">
        <v>0</v>
      </c>
      <c r="H30" s="9"/>
    </row>
    <row r="31" spans="2:8" ht="20.100000000000001" customHeight="1" x14ac:dyDescent="0.25">
      <c r="B31" s="6" t="s">
        <v>410</v>
      </c>
      <c r="C31" s="7" t="s">
        <v>411</v>
      </c>
      <c r="D31" s="8">
        <v>1500000</v>
      </c>
      <c r="E31" s="9">
        <v>0</v>
      </c>
      <c r="F31" s="4">
        <v>184000</v>
      </c>
      <c r="H31" s="9"/>
    </row>
    <row r="32" spans="2:8" ht="20.100000000000001" customHeight="1" x14ac:dyDescent="0.25">
      <c r="B32" s="14" t="s">
        <v>412</v>
      </c>
      <c r="C32" s="15" t="s">
        <v>413</v>
      </c>
      <c r="D32" s="16">
        <f t="shared" ref="D32:F33" si="1">D33</f>
        <v>2528500</v>
      </c>
      <c r="E32" s="16">
        <f t="shared" si="1"/>
        <v>0</v>
      </c>
      <c r="F32" s="16">
        <f t="shared" si="1"/>
        <v>0</v>
      </c>
    </row>
    <row r="33" spans="2:6" ht="20.100000000000001" customHeight="1" x14ac:dyDescent="0.25">
      <c r="B33" s="6" t="s">
        <v>414</v>
      </c>
      <c r="C33" s="7" t="s">
        <v>415</v>
      </c>
      <c r="D33" s="8">
        <f t="shared" si="1"/>
        <v>2528500</v>
      </c>
      <c r="E33" s="8">
        <f t="shared" si="1"/>
        <v>0</v>
      </c>
      <c r="F33" s="8">
        <f t="shared" si="1"/>
        <v>0</v>
      </c>
    </row>
    <row r="34" spans="2:6" ht="20.100000000000001" customHeight="1" x14ac:dyDescent="0.25">
      <c r="B34" s="6" t="s">
        <v>416</v>
      </c>
      <c r="C34" s="7" t="s">
        <v>405</v>
      </c>
      <c r="D34" s="8">
        <f>D35+D37</f>
        <v>2528500</v>
      </c>
      <c r="E34" s="8">
        <f>E35+E37</f>
        <v>0</v>
      </c>
      <c r="F34" s="8">
        <f>F35+F37</f>
        <v>0</v>
      </c>
    </row>
    <row r="35" spans="2:6" ht="20.100000000000001" customHeight="1" x14ac:dyDescent="0.25">
      <c r="B35" s="6" t="s">
        <v>417</v>
      </c>
      <c r="C35" s="7" t="s">
        <v>407</v>
      </c>
      <c r="D35" s="8">
        <f>D36</f>
        <v>1028500</v>
      </c>
      <c r="E35" s="8">
        <f>E36</f>
        <v>0</v>
      </c>
      <c r="F35" s="8">
        <f>F36</f>
        <v>0</v>
      </c>
    </row>
    <row r="36" spans="2:6" ht="20.100000000000001" customHeight="1" x14ac:dyDescent="0.25">
      <c r="B36" s="6" t="s">
        <v>418</v>
      </c>
      <c r="C36" s="7" t="s">
        <v>419</v>
      </c>
      <c r="D36" s="8">
        <v>1028500</v>
      </c>
      <c r="E36" s="8">
        <v>0</v>
      </c>
      <c r="F36" s="4">
        <v>0</v>
      </c>
    </row>
    <row r="37" spans="2:6" ht="20.100000000000001" customHeight="1" x14ac:dyDescent="0.25">
      <c r="B37" s="6" t="s">
        <v>420</v>
      </c>
      <c r="C37" s="7" t="s">
        <v>411</v>
      </c>
      <c r="D37" s="8">
        <v>1500000</v>
      </c>
      <c r="E37" s="8">
        <v>0</v>
      </c>
      <c r="F37" s="8">
        <v>0</v>
      </c>
    </row>
    <row r="38" spans="2:6" ht="30" customHeight="1" x14ac:dyDescent="0.25">
      <c r="B38" s="33" t="s">
        <v>421</v>
      </c>
      <c r="C38" s="34"/>
      <c r="D38" s="17">
        <f>D9</f>
        <v>4969980</v>
      </c>
      <c r="E38" s="17">
        <f>E9</f>
        <v>130814.36</v>
      </c>
      <c r="F38" s="17">
        <f>F9</f>
        <v>669595.48</v>
      </c>
    </row>
    <row r="39" spans="2:6" ht="30" customHeight="1" x14ac:dyDescent="0.25">
      <c r="B39" s="35" t="s">
        <v>422</v>
      </c>
      <c r="C39" s="36"/>
      <c r="D39" s="17">
        <f>D32</f>
        <v>2528500</v>
      </c>
      <c r="E39" s="17">
        <f>E32</f>
        <v>0</v>
      </c>
      <c r="F39" s="17">
        <f>F32</f>
        <v>0</v>
      </c>
    </row>
    <row r="40" spans="2:6" ht="30" customHeight="1" x14ac:dyDescent="0.25">
      <c r="B40" s="35" t="s">
        <v>423</v>
      </c>
      <c r="C40" s="36"/>
      <c r="D40" s="17">
        <f>D38+D39</f>
        <v>7498480</v>
      </c>
      <c r="E40" s="17">
        <f>E38+E39</f>
        <v>130814.36</v>
      </c>
      <c r="F40" s="17">
        <f>F38+F39</f>
        <v>669595.48</v>
      </c>
    </row>
    <row r="41" spans="2:6" x14ac:dyDescent="0.25">
      <c r="B41" s="1"/>
      <c r="D41" s="9"/>
      <c r="E41" s="9"/>
      <c r="F41" s="25"/>
    </row>
    <row r="42" spans="2:6" x14ac:dyDescent="0.25">
      <c r="B42" s="1"/>
      <c r="D42" s="9"/>
      <c r="E42" s="9"/>
      <c r="F42" s="25"/>
    </row>
    <row r="43" spans="2:6" x14ac:dyDescent="0.25">
      <c r="B43" s="1"/>
      <c r="D43" s="9"/>
      <c r="E43" s="9"/>
      <c r="F43" s="9"/>
    </row>
    <row r="44" spans="2:6" x14ac:dyDescent="0.25">
      <c r="B44" s="1"/>
      <c r="D44" s="9"/>
      <c r="E44" s="9"/>
      <c r="F44" s="9"/>
    </row>
    <row r="45" spans="2:6" x14ac:dyDescent="0.25">
      <c r="B45" s="1"/>
      <c r="D45" s="9"/>
      <c r="E45" s="9"/>
      <c r="F45" s="9"/>
    </row>
    <row r="46" spans="2:6" x14ac:dyDescent="0.25">
      <c r="B46" s="1"/>
      <c r="D46" s="9"/>
      <c r="E46" s="9"/>
      <c r="F46" s="9"/>
    </row>
    <row r="47" spans="2:6" x14ac:dyDescent="0.25">
      <c r="B47" s="1"/>
      <c r="D47" s="9"/>
      <c r="E47" s="9"/>
      <c r="F47" s="9"/>
    </row>
    <row r="48" spans="2:6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  <c r="D59" s="9"/>
      <c r="E59" s="9"/>
      <c r="F59" s="9"/>
    </row>
    <row r="60" spans="2:6" x14ac:dyDescent="0.25">
      <c r="B60" s="1"/>
    </row>
  </sheetData>
  <mergeCells count="9">
    <mergeCell ref="B38:C38"/>
    <mergeCell ref="B39:C39"/>
    <mergeCell ref="B40:C40"/>
    <mergeCell ref="B1:F1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</vt:lpstr>
      <vt:lpstr>RECEITA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2018-08-23T13:31:44Z</cp:lastPrinted>
  <dcterms:created xsi:type="dcterms:W3CDTF">2018-08-19T00:21:43Z</dcterms:created>
  <dcterms:modified xsi:type="dcterms:W3CDTF">2018-09-20T02:00:51Z</dcterms:modified>
</cp:coreProperties>
</file>