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ulo.UENP\Documents\PUBLICAÇÕES\2017\"/>
    </mc:Choice>
  </mc:AlternateContent>
  <bookViews>
    <workbookView xWindow="0" yWindow="0" windowWidth="19200" windowHeight="9495"/>
  </bookViews>
  <sheets>
    <sheet name="QUADRO I" sheetId="2" r:id="rId1"/>
    <sheet name="QUADRO II" sheetId="3" r:id="rId2"/>
  </sheets>
  <calcPr calcId="152511"/>
</workbook>
</file>

<file path=xl/calcChain.xml><?xml version="1.0" encoding="utf-8"?>
<calcChain xmlns="http://schemas.openxmlformats.org/spreadsheetml/2006/main">
  <c r="F103" i="2" l="1"/>
  <c r="F98" i="2"/>
  <c r="F97" i="2"/>
  <c r="F96" i="2"/>
  <c r="F95" i="2"/>
  <c r="F76" i="2"/>
  <c r="F75" i="2"/>
  <c r="F68" i="2"/>
  <c r="F67" i="2"/>
  <c r="F80" i="2" l="1"/>
  <c r="F74" i="2"/>
  <c r="F73" i="2"/>
  <c r="F70" i="2"/>
  <c r="F69" i="2"/>
  <c r="I14" i="3"/>
  <c r="I13" i="3"/>
  <c r="I12" i="3"/>
  <c r="E70" i="2" l="1"/>
  <c r="E98" i="2"/>
  <c r="E103" i="2"/>
  <c r="E97" i="2"/>
  <c r="E96" i="2"/>
  <c r="E95" i="2"/>
  <c r="E67" i="2"/>
  <c r="E68" i="2"/>
  <c r="E76" i="2"/>
  <c r="E75" i="2"/>
  <c r="E74" i="2"/>
  <c r="E73" i="2"/>
  <c r="E69" i="2"/>
  <c r="E28" i="2" l="1"/>
  <c r="E33" i="2"/>
  <c r="I11" i="3"/>
  <c r="I10" i="3"/>
  <c r="I26" i="3" l="1"/>
  <c r="I25" i="3"/>
  <c r="I9" i="3" l="1"/>
  <c r="I57" i="3"/>
  <c r="D98" i="2" l="1"/>
  <c r="D103" i="2"/>
  <c r="D97" i="2"/>
  <c r="D95" i="2"/>
  <c r="D96" i="2"/>
  <c r="D67" i="2"/>
  <c r="D68" i="2"/>
  <c r="D76" i="2"/>
  <c r="D75" i="2"/>
  <c r="D74" i="2"/>
  <c r="D73" i="2"/>
  <c r="D69" i="2"/>
  <c r="D70" i="2"/>
  <c r="I56" i="3" l="1"/>
  <c r="I55" i="3"/>
  <c r="I54" i="3"/>
  <c r="I40" i="3"/>
  <c r="I39" i="3"/>
  <c r="I38" i="3"/>
  <c r="J24" i="3"/>
  <c r="I24" i="3"/>
  <c r="J23" i="3"/>
  <c r="I23" i="3"/>
  <c r="J21" i="3"/>
  <c r="I21" i="3"/>
  <c r="I22" i="3"/>
  <c r="J8" i="3"/>
  <c r="I8" i="3"/>
  <c r="M7" i="3"/>
  <c r="I7" i="3"/>
  <c r="J6" i="3"/>
  <c r="I6" i="3"/>
  <c r="C98" i="2" l="1"/>
  <c r="C97" i="2"/>
  <c r="C103" i="2"/>
  <c r="C96" i="2"/>
  <c r="C95" i="2"/>
  <c r="C67" i="2"/>
  <c r="C68" i="2"/>
  <c r="C75" i="2"/>
  <c r="C76" i="2"/>
  <c r="C74" i="2"/>
  <c r="C73" i="2"/>
  <c r="C70" i="2"/>
  <c r="C69" i="2" l="1"/>
  <c r="J37" i="3"/>
  <c r="I37" i="3"/>
  <c r="J36" i="3"/>
  <c r="I36" i="3"/>
  <c r="J35" i="3"/>
  <c r="I35" i="3"/>
  <c r="I19" i="3"/>
  <c r="I4" i="3"/>
  <c r="I3" i="3"/>
  <c r="O37" i="3" l="1"/>
  <c r="E32" i="3" l="1"/>
  <c r="D32" i="3"/>
  <c r="C32" i="3"/>
  <c r="F32" i="3" l="1"/>
  <c r="F41" i="2" s="1"/>
  <c r="E23" i="3" l="1"/>
  <c r="D23" i="3"/>
  <c r="C23" i="3"/>
  <c r="F23" i="3" l="1"/>
  <c r="E41" i="2" s="1"/>
  <c r="E14" i="3"/>
  <c r="D14" i="3"/>
  <c r="C14" i="3"/>
  <c r="F14" i="3" l="1"/>
  <c r="D41" i="2" s="1"/>
  <c r="C72" i="2" l="1"/>
  <c r="E72" i="2"/>
  <c r="C5" i="3"/>
  <c r="D5" i="3"/>
  <c r="E5" i="3"/>
  <c r="K48" i="3"/>
  <c r="K32" i="3"/>
  <c r="K16" i="3"/>
  <c r="F5" i="3" l="1"/>
  <c r="C42" i="3" s="1"/>
  <c r="K64" i="3"/>
  <c r="L16" i="3"/>
  <c r="C41" i="2" l="1"/>
  <c r="E16" i="3"/>
  <c r="E31" i="3" l="1"/>
  <c r="E35" i="3" l="1"/>
  <c r="E34" i="3"/>
  <c r="E33" i="3"/>
  <c r="E30" i="3"/>
  <c r="D35" i="3"/>
  <c r="D34" i="3"/>
  <c r="D33" i="3"/>
  <c r="D31" i="3"/>
  <c r="D30" i="3"/>
  <c r="C35" i="3"/>
  <c r="C34" i="3"/>
  <c r="C33" i="3"/>
  <c r="C31" i="3"/>
  <c r="C30" i="3"/>
  <c r="E21" i="3"/>
  <c r="D21" i="3"/>
  <c r="E26" i="3"/>
  <c r="C25" i="3"/>
  <c r="D26" i="3"/>
  <c r="E24" i="3"/>
  <c r="E25" i="3"/>
  <c r="E22" i="3"/>
  <c r="D25" i="3"/>
  <c r="D24" i="3"/>
  <c r="D22" i="3"/>
  <c r="C26" i="3"/>
  <c r="C24" i="3"/>
  <c r="C22" i="3"/>
  <c r="C21" i="3"/>
  <c r="E17" i="3" l="1"/>
  <c r="E15" i="3"/>
  <c r="E13" i="3"/>
  <c r="E12" i="3"/>
  <c r="D17" i="3"/>
  <c r="D16" i="3"/>
  <c r="D15" i="3"/>
  <c r="D13" i="3"/>
  <c r="D12" i="3"/>
  <c r="C17" i="3"/>
  <c r="C16" i="3"/>
  <c r="C15" i="3"/>
  <c r="C13" i="3"/>
  <c r="C12" i="3"/>
  <c r="O53" i="3"/>
  <c r="E8" i="3"/>
  <c r="E7" i="3"/>
  <c r="E6" i="3"/>
  <c r="E4" i="3"/>
  <c r="D8" i="3"/>
  <c r="D7" i="3"/>
  <c r="D6" i="3"/>
  <c r="D4" i="3"/>
  <c r="D3" i="3"/>
  <c r="C8" i="3"/>
  <c r="C7" i="3"/>
  <c r="C6" i="3"/>
  <c r="C4" i="3"/>
  <c r="N64" i="3"/>
  <c r="M64" i="3"/>
  <c r="L64" i="3"/>
  <c r="J64" i="3"/>
  <c r="O62" i="3"/>
  <c r="O61" i="3"/>
  <c r="O60" i="3"/>
  <c r="O59" i="3"/>
  <c r="O58" i="3"/>
  <c r="O57" i="3"/>
  <c r="O56" i="3"/>
  <c r="O55" i="3"/>
  <c r="O54" i="3"/>
  <c r="I64" i="3"/>
  <c r="O52" i="3"/>
  <c r="O51" i="3"/>
  <c r="N48" i="3"/>
  <c r="M48" i="3"/>
  <c r="L48" i="3"/>
  <c r="J48" i="3"/>
  <c r="O46" i="3"/>
  <c r="O45" i="3"/>
  <c r="O44" i="3"/>
  <c r="O43" i="3"/>
  <c r="O42" i="3"/>
  <c r="O41" i="3"/>
  <c r="O40" i="3"/>
  <c r="O39" i="3"/>
  <c r="O38" i="3"/>
  <c r="O36" i="3"/>
  <c r="O35" i="3"/>
  <c r="I48" i="3"/>
  <c r="N32" i="3"/>
  <c r="M32" i="3"/>
  <c r="J32" i="3"/>
  <c r="O30" i="3"/>
  <c r="O29" i="3"/>
  <c r="O28" i="3"/>
  <c r="O27" i="3"/>
  <c r="O26" i="3"/>
  <c r="O25" i="3"/>
  <c r="O24" i="3"/>
  <c r="O23" i="3"/>
  <c r="O22" i="3"/>
  <c r="O21" i="3"/>
  <c r="O20" i="3"/>
  <c r="L32" i="3"/>
  <c r="I32" i="3"/>
  <c r="M16" i="3"/>
  <c r="O4" i="3"/>
  <c r="O5" i="3"/>
  <c r="O6" i="3"/>
  <c r="O7" i="3"/>
  <c r="O8" i="3"/>
  <c r="O9" i="3"/>
  <c r="O10" i="3"/>
  <c r="O11" i="3"/>
  <c r="O12" i="3"/>
  <c r="O13" i="3"/>
  <c r="O14" i="3"/>
  <c r="J16" i="3"/>
  <c r="N16" i="3"/>
  <c r="I16" i="3"/>
  <c r="C66" i="2" l="1"/>
  <c r="E3" i="3"/>
  <c r="E9" i="3" s="1"/>
  <c r="O3" i="3"/>
  <c r="E66" i="2"/>
  <c r="C3" i="3"/>
  <c r="C9" i="3" s="1"/>
  <c r="O64" i="3"/>
  <c r="O48" i="3"/>
  <c r="O32" i="3"/>
  <c r="O19" i="3"/>
  <c r="O16" i="3"/>
  <c r="F32" i="2"/>
  <c r="F30" i="2"/>
  <c r="E32" i="2"/>
  <c r="E12" i="2" s="1"/>
  <c r="E30" i="2"/>
  <c r="F35" i="3"/>
  <c r="F34" i="3"/>
  <c r="F33" i="3"/>
  <c r="F31" i="3"/>
  <c r="F43" i="2" s="1"/>
  <c r="E36" i="3"/>
  <c r="D36" i="3"/>
  <c r="C36" i="3"/>
  <c r="F8" i="3"/>
  <c r="F7" i="3"/>
  <c r="F6" i="3"/>
  <c r="F4" i="3"/>
  <c r="C43" i="2" s="1"/>
  <c r="D9" i="3"/>
  <c r="F26" i="3"/>
  <c r="F25" i="3"/>
  <c r="F24" i="3"/>
  <c r="F22" i="3"/>
  <c r="E27" i="3"/>
  <c r="D27" i="3"/>
  <c r="C27" i="3"/>
  <c r="D18" i="3"/>
  <c r="C18" i="3"/>
  <c r="F13" i="3"/>
  <c r="D43" i="2" s="1"/>
  <c r="F15" i="3"/>
  <c r="D46" i="2" s="1"/>
  <c r="F16" i="3"/>
  <c r="F17" i="3"/>
  <c r="F12" i="3"/>
  <c r="D40" i="2" s="1"/>
  <c r="C49" i="2"/>
  <c r="G105" i="2"/>
  <c r="G104" i="2"/>
  <c r="G103" i="2"/>
  <c r="G102" i="2"/>
  <c r="F101" i="2"/>
  <c r="F100" i="2" s="1"/>
  <c r="E101" i="2"/>
  <c r="E100" i="2" s="1"/>
  <c r="D101" i="2"/>
  <c r="D100" i="2" s="1"/>
  <c r="C101" i="2"/>
  <c r="C100" i="2" s="1"/>
  <c r="G98" i="2"/>
  <c r="G97" i="2"/>
  <c r="G96" i="2"/>
  <c r="G95" i="2"/>
  <c r="F94" i="2"/>
  <c r="E94" i="2"/>
  <c r="D94" i="2"/>
  <c r="C94" i="2"/>
  <c r="G93" i="2"/>
  <c r="G92" i="2"/>
  <c r="G91" i="2"/>
  <c r="G90" i="2"/>
  <c r="F89" i="2"/>
  <c r="E89" i="2"/>
  <c r="D89" i="2"/>
  <c r="C89" i="2"/>
  <c r="G83" i="2"/>
  <c r="G82" i="2"/>
  <c r="G81" i="2"/>
  <c r="G80" i="2"/>
  <c r="F79" i="2"/>
  <c r="F78" i="2" s="1"/>
  <c r="E79" i="2"/>
  <c r="E78" i="2" s="1"/>
  <c r="D79" i="2"/>
  <c r="D78" i="2" s="1"/>
  <c r="D53" i="2" s="1"/>
  <c r="C79" i="2"/>
  <c r="C78" i="2" s="1"/>
  <c r="G76" i="2"/>
  <c r="G75" i="2"/>
  <c r="G74" i="2"/>
  <c r="G73" i="2"/>
  <c r="F72" i="2"/>
  <c r="D72" i="2"/>
  <c r="G71" i="2"/>
  <c r="G70" i="2"/>
  <c r="G68" i="2"/>
  <c r="G54" i="2"/>
  <c r="G52" i="2"/>
  <c r="G51" i="2"/>
  <c r="G50" i="2"/>
  <c r="F49" i="2"/>
  <c r="E49" i="2"/>
  <c r="G42" i="2"/>
  <c r="G41" i="2"/>
  <c r="G39" i="2"/>
  <c r="G31" i="2"/>
  <c r="G29" i="2"/>
  <c r="C28" i="2"/>
  <c r="C12" i="2" s="1"/>
  <c r="G24" i="2"/>
  <c r="G22" i="2"/>
  <c r="C44" i="3" l="1"/>
  <c r="C46" i="2"/>
  <c r="C43" i="3"/>
  <c r="C41" i="3"/>
  <c r="E46" i="2"/>
  <c r="D47" i="2"/>
  <c r="D25" i="2" s="1"/>
  <c r="C47" i="2"/>
  <c r="C45" i="3"/>
  <c r="F46" i="2"/>
  <c r="E43" i="2"/>
  <c r="G43" i="2" s="1"/>
  <c r="C16" i="2"/>
  <c r="E47" i="2"/>
  <c r="F47" i="2"/>
  <c r="D66" i="2"/>
  <c r="D65" i="2" s="1"/>
  <c r="D64" i="2" s="1"/>
  <c r="D45" i="2" s="1"/>
  <c r="D44" i="2" s="1"/>
  <c r="G32" i="2"/>
  <c r="F28" i="2"/>
  <c r="F12" i="2" s="1"/>
  <c r="G69" i="2"/>
  <c r="F16" i="2"/>
  <c r="E16" i="2"/>
  <c r="E88" i="2"/>
  <c r="E87" i="2" s="1"/>
  <c r="D26" i="2"/>
  <c r="D88" i="2"/>
  <c r="D87" i="2" s="1"/>
  <c r="C88" i="2"/>
  <c r="C87" i="2" s="1"/>
  <c r="C65" i="2"/>
  <c r="F88" i="2"/>
  <c r="F87" i="2" s="1"/>
  <c r="E65" i="2"/>
  <c r="D49" i="2"/>
  <c r="G49" i="2" s="1"/>
  <c r="D30" i="2"/>
  <c r="G53" i="2"/>
  <c r="D16" i="2"/>
  <c r="F30" i="3"/>
  <c r="F3" i="3"/>
  <c r="F21" i="3"/>
  <c r="E18" i="3"/>
  <c r="F18" i="3"/>
  <c r="G72" i="2"/>
  <c r="G94" i="2"/>
  <c r="G101" i="2"/>
  <c r="G100" i="2" s="1"/>
  <c r="G79" i="2"/>
  <c r="G78" i="2" s="1"/>
  <c r="G89" i="2"/>
  <c r="C25" i="2" l="1"/>
  <c r="C40" i="3"/>
  <c r="C48" i="3" s="1"/>
  <c r="G46" i="2"/>
  <c r="E25" i="2"/>
  <c r="D38" i="2"/>
  <c r="D37" i="2" s="1"/>
  <c r="C49" i="3"/>
  <c r="G47" i="2"/>
  <c r="F25" i="2"/>
  <c r="F36" i="3"/>
  <c r="F40" i="2"/>
  <c r="F26" i="2" s="1"/>
  <c r="F66" i="2"/>
  <c r="F65" i="2" s="1"/>
  <c r="F64" i="2" s="1"/>
  <c r="F45" i="2" s="1"/>
  <c r="F23" i="2" s="1"/>
  <c r="G67" i="2"/>
  <c r="G66" i="2" s="1"/>
  <c r="G65" i="2" s="1"/>
  <c r="G16" i="2"/>
  <c r="E15" i="2"/>
  <c r="E14" i="2" s="1"/>
  <c r="F27" i="3"/>
  <c r="E40" i="2"/>
  <c r="E26" i="2" s="1"/>
  <c r="F9" i="3"/>
  <c r="C40" i="2"/>
  <c r="C15" i="2"/>
  <c r="C14" i="2" s="1"/>
  <c r="C64" i="2"/>
  <c r="C45" i="2" s="1"/>
  <c r="E64" i="2"/>
  <c r="E45" i="2" s="1"/>
  <c r="E44" i="2" s="1"/>
  <c r="D15" i="2"/>
  <c r="G30" i="2"/>
  <c r="G28" i="2" s="1"/>
  <c r="D28" i="2"/>
  <c r="D12" i="2" s="1"/>
  <c r="G12" i="2" s="1"/>
  <c r="G88" i="2"/>
  <c r="G87" i="2" s="1"/>
  <c r="G25" i="2" l="1"/>
  <c r="C50" i="3"/>
  <c r="C46" i="3"/>
  <c r="G64" i="2"/>
  <c r="F15" i="2"/>
  <c r="F14" i="2" s="1"/>
  <c r="F21" i="2"/>
  <c r="F11" i="2" s="1"/>
  <c r="F10" i="2" s="1"/>
  <c r="F44" i="2"/>
  <c r="F38" i="2" s="1"/>
  <c r="F37" i="2" s="1"/>
  <c r="E38" i="2"/>
  <c r="E37" i="2" s="1"/>
  <c r="C23" i="2"/>
  <c r="C44" i="2"/>
  <c r="C38" i="2" s="1"/>
  <c r="C37" i="2" s="1"/>
  <c r="C26" i="2"/>
  <c r="G26" i="2" s="1"/>
  <c r="G40" i="2"/>
  <c r="E23" i="2"/>
  <c r="E21" i="2" s="1"/>
  <c r="E11" i="2" s="1"/>
  <c r="E10" i="2" s="1"/>
  <c r="D14" i="2"/>
  <c r="D23" i="2"/>
  <c r="G45" i="2"/>
  <c r="G15" i="2" l="1"/>
  <c r="G14" i="2" s="1"/>
  <c r="F20" i="2"/>
  <c r="E20" i="2"/>
  <c r="G44" i="2"/>
  <c r="G38" i="2" s="1"/>
  <c r="G37" i="2" s="1"/>
  <c r="C21" i="2"/>
  <c r="D21" i="2"/>
  <c r="G23" i="2"/>
  <c r="G21" i="2" s="1"/>
  <c r="G20" i="2" s="1"/>
  <c r="C20" i="2" l="1"/>
  <c r="C11" i="2"/>
  <c r="C10" i="2" s="1"/>
  <c r="D11" i="2"/>
  <c r="D20" i="2"/>
  <c r="G11" i="2" l="1"/>
  <c r="G10" i="2" s="1"/>
  <c r="D10" i="2"/>
</calcChain>
</file>

<file path=xl/sharedStrings.xml><?xml version="1.0" encoding="utf-8"?>
<sst xmlns="http://schemas.openxmlformats.org/spreadsheetml/2006/main" count="254" uniqueCount="88">
  <si>
    <t>Universidade Estadual do Norte do Paraná</t>
  </si>
  <si>
    <t>Quadros Demonstrativos - Decreto nº 6194 de 22/08/2002</t>
  </si>
  <si>
    <t>Quadro I - Execução Orçamentária</t>
  </si>
  <si>
    <t>Discriminação</t>
  </si>
  <si>
    <t>1.º Trimestre</t>
  </si>
  <si>
    <t>SOMA</t>
  </si>
  <si>
    <t>Quadro II - Receitas por Origem e Recurso</t>
  </si>
  <si>
    <t>Receita Total</t>
  </si>
  <si>
    <t xml:space="preserve">   Receitas Correntes</t>
  </si>
  <si>
    <t xml:space="preserve">   Receitas de Capital</t>
  </si>
  <si>
    <t>Despesa Total</t>
  </si>
  <si>
    <t xml:space="preserve">   Despesas Correntes</t>
  </si>
  <si>
    <t xml:space="preserve">   Despesas de Capital</t>
  </si>
  <si>
    <t xml:space="preserve">      Recebida do Governo Federal</t>
  </si>
  <si>
    <t xml:space="preserve">      Recebida do Governo Estadual</t>
  </si>
  <si>
    <t xml:space="preserve">      Recebida dos Municípios</t>
  </si>
  <si>
    <t xml:space="preserve">      Recebida de Outros Órgãos</t>
  </si>
  <si>
    <t>2.º Trimestre</t>
  </si>
  <si>
    <t>3.º Trimestre</t>
  </si>
  <si>
    <t>4.º Trimestre</t>
  </si>
  <si>
    <t xml:space="preserve">Quadro III - Receitas por Título </t>
  </si>
  <si>
    <t xml:space="preserve">      Receita de Contribuições</t>
  </si>
  <si>
    <t xml:space="preserve">      Receita Patrimonial</t>
  </si>
  <si>
    <t xml:space="preserve">      Receita Agropecuária</t>
  </si>
  <si>
    <t xml:space="preserve">      Receita Industrial</t>
  </si>
  <si>
    <t xml:space="preserve">      Receita de Serviços</t>
  </si>
  <si>
    <t xml:space="preserve">      Transferências Correntes</t>
  </si>
  <si>
    <t xml:space="preserve">      Outras Transferências Correntes</t>
  </si>
  <si>
    <t xml:space="preserve">      Operações de Crédito</t>
  </si>
  <si>
    <t xml:space="preserve">      Alienação de Bens</t>
  </si>
  <si>
    <t xml:space="preserve">      Amortização de Empréstimos</t>
  </si>
  <si>
    <t xml:space="preserve">      Transferência de Capital</t>
  </si>
  <si>
    <t xml:space="preserve">      Outras Receitas de Capital</t>
  </si>
  <si>
    <t xml:space="preserve">Quadro IV - Despesas do Tesouro Estadual </t>
  </si>
  <si>
    <t xml:space="preserve">      1 - Pessoal e Encargos Sociais</t>
  </si>
  <si>
    <t xml:space="preserve">           Vencimento e Vantagens Fixas</t>
  </si>
  <si>
    <t xml:space="preserve">           Contratação por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</si>
  <si>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</si>
  <si>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</si>
  <si>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</si>
  <si>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</si>
  <si>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c/Locomoção</t>
  </si>
  <si>
    <t xml:space="preserve">           Outros Serviços Terceiros - Fis. e Jur.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</si>
  <si>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</si>
  <si>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</si>
  <si>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</si>
  <si>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</si>
  <si>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da Dívida</t>
  </si>
  <si>
    <t xml:space="preserve">Quadro V - Despesas de Outras Fontes </t>
  </si>
  <si>
    <t xml:space="preserve">           Outras Despesas de Custeio</t>
  </si>
  <si>
    <t xml:space="preserve">      Diretamente Arrecadada</t>
  </si>
  <si>
    <t xml:space="preserve">         Fundação Araucária</t>
  </si>
  <si>
    <t xml:space="preserve">         Tesouro Geral do Estado</t>
  </si>
  <si>
    <t>ABRIL</t>
  </si>
  <si>
    <t>MAIO</t>
  </si>
  <si>
    <t>JUNHO</t>
  </si>
  <si>
    <t>TOTAL</t>
  </si>
  <si>
    <t>RECEITA</t>
  </si>
  <si>
    <t>Diretamente Arrecadada</t>
  </si>
  <si>
    <t>Fundação Araucária / Convênios</t>
  </si>
  <si>
    <t>Convênios Federais</t>
  </si>
  <si>
    <t>Receita Patrimonial</t>
  </si>
  <si>
    <t>JULHO</t>
  </si>
  <si>
    <t>AGOSTO</t>
  </si>
  <si>
    <t>SETEMBRO</t>
  </si>
  <si>
    <t>JANEIRO</t>
  </si>
  <si>
    <t>FEVEREIRO</t>
  </si>
  <si>
    <t>MARÇO</t>
  </si>
  <si>
    <t>DEZEMBRO</t>
  </si>
  <si>
    <t>NOVEMBRO</t>
  </si>
  <si>
    <t>OUTUBRO</t>
  </si>
  <si>
    <t xml:space="preserve">           Encargos Patronais</t>
  </si>
  <si>
    <t>REITORIA</t>
  </si>
  <si>
    <t>PATRIMONIAL</t>
  </si>
  <si>
    <t>DIR. ARREC.</t>
  </si>
  <si>
    <t>CONV. FED.</t>
  </si>
  <si>
    <t>F. ARAUCÁRIA</t>
  </si>
  <si>
    <t>T.CONTAS</t>
  </si>
  <si>
    <t>Outros Convênios</t>
  </si>
  <si>
    <t>C.JACAREZINHO</t>
  </si>
  <si>
    <t>C.CORN. PROCÓPIO</t>
  </si>
  <si>
    <t>C. BANDEIRANTES</t>
  </si>
  <si>
    <t>TOTAL ANO</t>
  </si>
  <si>
    <t>Convênios</t>
  </si>
  <si>
    <t>AGROPECUÁRIA</t>
  </si>
  <si>
    <t>AGROPEC.</t>
  </si>
  <si>
    <t>Receita Agropecuária</t>
  </si>
  <si>
    <t>Exercício Financeiro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</si>
</sst>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/>
    <xf numFmtId="44" fontId="3" fillId="0" borderId="7" xfId="1" applyNumberFormat="1" applyFont="1" applyBorder="1"/>
    <xf numFmtId="44" fontId="3" fillId="0" borderId="2" xfId="1" applyNumberFormat="1" applyFont="1" applyBorder="1"/>
    <xf numFmtId="44" fontId="3" fillId="0" borderId="8" xfId="1" applyNumberFormat="1" applyFont="1" applyBorder="1"/>
    <xf numFmtId="44" fontId="3" fillId="0" borderId="0" xfId="0" applyNumberFormat="1" applyFont="1"/>
    <xf numFmtId="44" fontId="4" fillId="0" borderId="7" xfId="1" applyNumberFormat="1" applyFont="1" applyBorder="1"/>
    <xf numFmtId="44" fontId="4" fillId="0" borderId="6" xfId="1" applyNumberFormat="1" applyFont="1" applyBorder="1"/>
    <xf numFmtId="0" fontId="4" fillId="0" borderId="6" xfId="0" applyFont="1" applyBorder="1"/>
    <xf numFmtId="0" fontId="4" fillId="0" borderId="7" xfId="0" applyFont="1" applyBorder="1"/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43" fontId="0" fillId="0" borderId="13" xfId="1" applyFont="1" applyBorder="1"/>
    <xf numFmtId="0" fontId="0" fillId="0" borderId="14" xfId="0" applyBorder="1"/>
    <xf numFmtId="43" fontId="0" fillId="0" borderId="15" xfId="1" applyFont="1" applyBorder="1"/>
    <xf numFmtId="43" fontId="0" fillId="0" borderId="16" xfId="1" applyFont="1" applyBorder="1"/>
    <xf numFmtId="0" fontId="3" fillId="0" borderId="0" xfId="0" applyFont="1" applyBorder="1" applyAlignment="1">
      <alignment horizontal="center" vertical="center"/>
    </xf>
    <xf numFmtId="44" fontId="4" fillId="0" borderId="0" xfId="1" applyNumberFormat="1" applyFont="1" applyBorder="1"/>
    <xf numFmtId="44" fontId="3" fillId="0" borderId="0" xfId="1" applyNumberFormat="1" applyFont="1" applyBorder="1"/>
    <xf numFmtId="43" fontId="0" fillId="0" borderId="0" xfId="0" applyNumberFormat="1"/>
    <xf numFmtId="4" fontId="0" fillId="0" borderId="0" xfId="0" applyNumberFormat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0" fillId="0" borderId="1" xfId="0" applyNumberFormat="1" applyBorder="1"/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44" fontId="4" fillId="0" borderId="17" xfId="1" applyNumberFormat="1" applyFont="1" applyBorder="1"/>
    <xf numFmtId="44" fontId="3" fillId="0" borderId="18" xfId="1" applyNumberFormat="1" applyFont="1" applyBorder="1"/>
    <xf numFmtId="44" fontId="3" fillId="0" borderId="8" xfId="2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1</xdr:col>
      <xdr:colOff>1047750</xdr:colOff>
      <xdr:row>6</xdr:row>
      <xdr:rowOff>76200</xdr:rowOff>
    </xdr:to>
    <xdr:pic>
      <xdr:nvPicPr>
        <xdr:cNvPr id="2049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101917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tabSelected="1" topLeftCell="A79" workbookViewId="0">
      <selection activeCell="F104" sqref="F104"/>
    </sheetView>
  </sheetViews>
  <sheetFormatPr defaultRowHeight="15" x14ac:dyDescent="0.25"/>
  <cols>
    <col min="1" max="1" width="1.28515625" customWidth="1"/>
    <col min="2" max="2" width="33.7109375" customWidth="1"/>
    <col min="3" max="3" width="15.7109375" customWidth="1"/>
    <col min="4" max="4" width="16.140625" customWidth="1"/>
    <col min="5" max="6" width="15.7109375" customWidth="1"/>
    <col min="7" max="7" width="16.85546875" customWidth="1"/>
    <col min="8" max="8" width="3.7109375" customWidth="1"/>
    <col min="9" max="9" width="25.7109375" style="13" customWidth="1"/>
    <col min="10" max="10" width="16.140625" style="13" customWidth="1"/>
    <col min="11" max="12" width="12.7109375" customWidth="1"/>
    <col min="13" max="13" width="12.7109375" style="13" customWidth="1"/>
  </cols>
  <sheetData>
    <row r="2" spans="2:9" x14ac:dyDescent="0.25">
      <c r="B2" s="42" t="s">
        <v>0</v>
      </c>
      <c r="C2" s="42"/>
      <c r="D2" s="42"/>
      <c r="E2" s="42"/>
      <c r="F2" s="42"/>
      <c r="G2" s="42"/>
      <c r="H2" s="14"/>
    </row>
    <row r="4" spans="2:9" x14ac:dyDescent="0.25">
      <c r="B4" s="43" t="s">
        <v>1</v>
      </c>
      <c r="C4" s="43"/>
      <c r="D4" s="43"/>
      <c r="E4" s="43"/>
      <c r="F4" s="43"/>
      <c r="G4" s="43"/>
      <c r="H4" s="15"/>
    </row>
    <row r="6" spans="2:9" x14ac:dyDescent="0.25">
      <c r="B6" s="43" t="s">
        <v>87</v>
      </c>
      <c r="C6" s="43"/>
      <c r="D6" s="43"/>
      <c r="E6" s="43"/>
      <c r="F6" s="43"/>
      <c r="G6" s="43"/>
      <c r="H6" s="15"/>
    </row>
    <row r="8" spans="2:9" x14ac:dyDescent="0.25">
      <c r="B8" s="39" t="s">
        <v>2</v>
      </c>
      <c r="C8" s="40"/>
      <c r="D8" s="40"/>
      <c r="E8" s="40"/>
      <c r="F8" s="40"/>
      <c r="G8" s="41"/>
      <c r="H8" s="25"/>
    </row>
    <row r="9" spans="2:9" x14ac:dyDescent="0.25">
      <c r="B9" s="1" t="s">
        <v>3</v>
      </c>
      <c r="C9" s="1" t="s">
        <v>4</v>
      </c>
      <c r="D9" s="1" t="s">
        <v>17</v>
      </c>
      <c r="E9" s="1" t="s">
        <v>18</v>
      </c>
      <c r="F9" s="1" t="s">
        <v>19</v>
      </c>
      <c r="G9" s="1" t="s">
        <v>5</v>
      </c>
      <c r="H9" s="25"/>
    </row>
    <row r="10" spans="2:9" x14ac:dyDescent="0.25">
      <c r="B10" s="11" t="s">
        <v>7</v>
      </c>
      <c r="C10" s="10">
        <f>C11+C12</f>
        <v>18385319.450000003</v>
      </c>
      <c r="D10" s="10">
        <f>D11+D12</f>
        <v>20199531.749999996</v>
      </c>
      <c r="E10" s="10">
        <f>E11+E12</f>
        <v>21506387.110000003</v>
      </c>
      <c r="F10" s="10">
        <f>F11+F12</f>
        <v>26553201.110000003</v>
      </c>
      <c r="G10" s="10">
        <f>G11+G12</f>
        <v>86644439.420000002</v>
      </c>
      <c r="H10" s="26"/>
    </row>
    <row r="11" spans="2:9" x14ac:dyDescent="0.25">
      <c r="B11" s="2" t="s">
        <v>8</v>
      </c>
      <c r="C11" s="5">
        <f>C21</f>
        <v>18385319.450000003</v>
      </c>
      <c r="D11" s="5">
        <f>D21</f>
        <v>20199531.749999996</v>
      </c>
      <c r="E11" s="5">
        <f>E21</f>
        <v>21483287.110000003</v>
      </c>
      <c r="F11" s="5">
        <f>F21</f>
        <v>26553201.110000003</v>
      </c>
      <c r="G11" s="5">
        <f>C11+D11+E11+F11</f>
        <v>86621339.420000002</v>
      </c>
      <c r="H11" s="27"/>
    </row>
    <row r="12" spans="2:9" x14ac:dyDescent="0.25">
      <c r="B12" s="2" t="s">
        <v>9</v>
      </c>
      <c r="C12" s="5">
        <f>C28</f>
        <v>0</v>
      </c>
      <c r="D12" s="5">
        <f>D28</f>
        <v>0</v>
      </c>
      <c r="E12" s="5">
        <f>E28</f>
        <v>23100</v>
      </c>
      <c r="F12" s="5">
        <f>F28</f>
        <v>0</v>
      </c>
      <c r="G12" s="5">
        <f>C12+D12+E12+F12</f>
        <v>23100</v>
      </c>
      <c r="H12" s="27"/>
    </row>
    <row r="13" spans="2:9" x14ac:dyDescent="0.25">
      <c r="B13" s="4"/>
      <c r="C13" s="6"/>
      <c r="D13" s="6"/>
      <c r="E13" s="6"/>
      <c r="F13" s="6"/>
      <c r="G13" s="5"/>
      <c r="H13" s="27"/>
    </row>
    <row r="14" spans="2:9" x14ac:dyDescent="0.25">
      <c r="B14" s="12" t="s">
        <v>10</v>
      </c>
      <c r="C14" s="9">
        <f>C15+C16</f>
        <v>18253578.359999999</v>
      </c>
      <c r="D14" s="9">
        <f>D15+D16</f>
        <v>20538713.179999996</v>
      </c>
      <c r="E14" s="9">
        <f>E15+E16</f>
        <v>20679289.030000001</v>
      </c>
      <c r="F14" s="9">
        <f>F15+F16</f>
        <v>25589788.940000001</v>
      </c>
      <c r="G14" s="9">
        <f>G15+G16</f>
        <v>85061369.510000005</v>
      </c>
      <c r="H14" s="26"/>
      <c r="I14" s="29"/>
    </row>
    <row r="15" spans="2:9" x14ac:dyDescent="0.25">
      <c r="B15" s="2" t="s">
        <v>11</v>
      </c>
      <c r="C15" s="5">
        <f>C65+C88</f>
        <v>18243579.370000001</v>
      </c>
      <c r="D15" s="5">
        <f>D65+D88</f>
        <v>20439400.839999996</v>
      </c>
      <c r="E15" s="5">
        <f>E65+E88</f>
        <v>20572378.23</v>
      </c>
      <c r="F15" s="5">
        <f>F65+F88</f>
        <v>24928933.670000002</v>
      </c>
      <c r="G15" s="5">
        <f>C15+D15+E15+F15</f>
        <v>84184292.109999999</v>
      </c>
      <c r="H15" s="27"/>
      <c r="I15" s="29"/>
    </row>
    <row r="16" spans="2:9" x14ac:dyDescent="0.25">
      <c r="B16" s="3" t="s">
        <v>12</v>
      </c>
      <c r="C16" s="7">
        <f>C78+C100</f>
        <v>9998.99</v>
      </c>
      <c r="D16" s="7">
        <f>D78+D100</f>
        <v>99312.34</v>
      </c>
      <c r="E16" s="7">
        <f>E78+E100</f>
        <v>106910.8</v>
      </c>
      <c r="F16" s="7">
        <f>F78+F100</f>
        <v>660855.27</v>
      </c>
      <c r="G16" s="7">
        <f>C16+D16+E16+F16</f>
        <v>877077.4</v>
      </c>
      <c r="H16" s="27"/>
      <c r="I16" s="29"/>
    </row>
    <row r="18" spans="2:8" x14ac:dyDescent="0.25">
      <c r="B18" s="39" t="s">
        <v>6</v>
      </c>
      <c r="C18" s="40"/>
      <c r="D18" s="40"/>
      <c r="E18" s="40"/>
      <c r="F18" s="40"/>
      <c r="G18" s="41"/>
      <c r="H18" s="25"/>
    </row>
    <row r="19" spans="2:8" x14ac:dyDescent="0.25">
      <c r="B19" s="1" t="s">
        <v>3</v>
      </c>
      <c r="C19" s="35" t="s">
        <v>4</v>
      </c>
      <c r="D19" s="1" t="s">
        <v>17</v>
      </c>
      <c r="E19" s="1" t="s">
        <v>18</v>
      </c>
      <c r="F19" s="1" t="s">
        <v>19</v>
      </c>
      <c r="G19" s="1" t="s">
        <v>5</v>
      </c>
      <c r="H19" s="25"/>
    </row>
    <row r="20" spans="2:8" x14ac:dyDescent="0.25">
      <c r="B20" s="11" t="s">
        <v>7</v>
      </c>
      <c r="C20" s="10">
        <f>C21+C28</f>
        <v>18385319.450000003</v>
      </c>
      <c r="D20" s="10">
        <f>D21+D28</f>
        <v>20199531.749999996</v>
      </c>
      <c r="E20" s="10">
        <f>E21+E28</f>
        <v>21506387.110000003</v>
      </c>
      <c r="F20" s="10">
        <f>F21+F28</f>
        <v>26553201.110000003</v>
      </c>
      <c r="G20" s="36">
        <f>G21+G28</f>
        <v>86621339.420000002</v>
      </c>
      <c r="H20" s="26"/>
    </row>
    <row r="21" spans="2:8" x14ac:dyDescent="0.25">
      <c r="B21" s="2" t="s">
        <v>8</v>
      </c>
      <c r="C21" s="5">
        <f>C22+C23+C24+C25+C26</f>
        <v>18385319.450000003</v>
      </c>
      <c r="D21" s="5">
        <f>D22+D23+D24+D25+D26</f>
        <v>20199531.749999996</v>
      </c>
      <c r="E21" s="5">
        <f>E22+E23+E24+E25+E26</f>
        <v>21483287.110000003</v>
      </c>
      <c r="F21" s="5">
        <f>F22+F23+F24+F25+F26</f>
        <v>26553201.110000003</v>
      </c>
      <c r="G21" s="37">
        <f>G22+G23+G24+G25+G26</f>
        <v>86621339.420000002</v>
      </c>
      <c r="H21" s="27"/>
    </row>
    <row r="22" spans="2:8" x14ac:dyDescent="0.25">
      <c r="B22" s="2" t="s">
        <v>13</v>
      </c>
      <c r="C22" s="5">
        <v>0</v>
      </c>
      <c r="D22" s="5">
        <v>0</v>
      </c>
      <c r="E22" s="5">
        <v>0</v>
      </c>
      <c r="F22" s="5">
        <v>0</v>
      </c>
      <c r="G22" s="37">
        <f>C22+D22+E22+F22</f>
        <v>0</v>
      </c>
      <c r="H22" s="27"/>
    </row>
    <row r="23" spans="2:8" x14ac:dyDescent="0.25">
      <c r="B23" s="2" t="s">
        <v>14</v>
      </c>
      <c r="C23" s="5">
        <f>C45</f>
        <v>17757044.650000002</v>
      </c>
      <c r="D23" s="5">
        <f>D45</f>
        <v>19292072.889999997</v>
      </c>
      <c r="E23" s="5">
        <f>E45</f>
        <v>19890851.870000001</v>
      </c>
      <c r="F23" s="5">
        <f>F45</f>
        <v>24175252.670000002</v>
      </c>
      <c r="G23" s="37">
        <f>C23+D23+E23+F23</f>
        <v>81115222.079999998</v>
      </c>
      <c r="H23" s="27"/>
    </row>
    <row r="24" spans="2:8" x14ac:dyDescent="0.25">
      <c r="B24" s="2" t="s">
        <v>15</v>
      </c>
      <c r="C24" s="5">
        <v>0</v>
      </c>
      <c r="D24" s="5">
        <v>0</v>
      </c>
      <c r="E24" s="5">
        <v>0</v>
      </c>
      <c r="F24" s="5">
        <v>0</v>
      </c>
      <c r="G24" s="37">
        <f>C24+D24+E24+F24</f>
        <v>0</v>
      </c>
      <c r="H24" s="27"/>
    </row>
    <row r="25" spans="2:8" x14ac:dyDescent="0.25">
      <c r="B25" s="2" t="s">
        <v>16</v>
      </c>
      <c r="C25" s="5">
        <f>C46+C47</f>
        <v>355135</v>
      </c>
      <c r="D25" s="5">
        <f>D46+D47</f>
        <v>475360</v>
      </c>
      <c r="E25" s="5">
        <f>E46+E47</f>
        <v>1067109.76</v>
      </c>
      <c r="F25" s="5">
        <f>F46+F47</f>
        <v>1296096.53</v>
      </c>
      <c r="G25" s="37">
        <f>C25+D25+E25+F25</f>
        <v>3193701.29</v>
      </c>
      <c r="H25" s="27"/>
    </row>
    <row r="26" spans="2:8" x14ac:dyDescent="0.25">
      <c r="B26" s="2" t="s">
        <v>50</v>
      </c>
      <c r="C26" s="5">
        <f>C39+C40+C41+C42+C43</f>
        <v>273139.8</v>
      </c>
      <c r="D26" s="5">
        <f>D39+D40+D41+D42+D43</f>
        <v>432098.86</v>
      </c>
      <c r="E26" s="5">
        <f>E39+E40+E41+E42+E43</f>
        <v>525325.48</v>
      </c>
      <c r="F26" s="5">
        <f>F39+F40+F41+F42+F43</f>
        <v>1081851.9099999999</v>
      </c>
      <c r="G26" s="37">
        <f>C26+D26+E26+F26</f>
        <v>2312416.0499999998</v>
      </c>
      <c r="H26" s="27"/>
    </row>
    <row r="27" spans="2:8" x14ac:dyDescent="0.25">
      <c r="B27" s="2"/>
      <c r="C27" s="5"/>
      <c r="D27" s="5"/>
      <c r="E27" s="5"/>
      <c r="F27" s="5"/>
      <c r="G27" s="37"/>
      <c r="H27" s="27"/>
    </row>
    <row r="28" spans="2:8" x14ac:dyDescent="0.25">
      <c r="B28" s="2" t="s">
        <v>9</v>
      </c>
      <c r="C28" s="5">
        <f>C29+C30+C31+C32</f>
        <v>0</v>
      </c>
      <c r="D28" s="5">
        <f>D29+D30+D31+D32</f>
        <v>0</v>
      </c>
      <c r="E28" s="5">
        <f>E29+E30+E31+E32+E33</f>
        <v>23100</v>
      </c>
      <c r="F28" s="5">
        <f>F29+F30+F31+F32</f>
        <v>0</v>
      </c>
      <c r="G28" s="37">
        <f>G29+G30+G31+G32</f>
        <v>0</v>
      </c>
      <c r="H28" s="27"/>
    </row>
    <row r="29" spans="2:8" x14ac:dyDescent="0.25">
      <c r="B29" s="2" t="s">
        <v>13</v>
      </c>
      <c r="C29" s="5">
        <v>0</v>
      </c>
      <c r="D29" s="5">
        <v>0</v>
      </c>
      <c r="E29" s="5">
        <v>0</v>
      </c>
      <c r="F29" s="5">
        <v>0</v>
      </c>
      <c r="G29" s="37">
        <f>C29+D29+E29+F29</f>
        <v>0</v>
      </c>
      <c r="H29" s="27"/>
    </row>
    <row r="30" spans="2:8" x14ac:dyDescent="0.25">
      <c r="B30" s="2" t="s">
        <v>14</v>
      </c>
      <c r="C30" s="5">
        <v>0</v>
      </c>
      <c r="D30" s="5">
        <f>D53</f>
        <v>0</v>
      </c>
      <c r="E30" s="5">
        <f>E53</f>
        <v>0</v>
      </c>
      <c r="F30" s="5">
        <f>F53</f>
        <v>0</v>
      </c>
      <c r="G30" s="37">
        <f>C30+D30+E30+F30</f>
        <v>0</v>
      </c>
      <c r="H30" s="27"/>
    </row>
    <row r="31" spans="2:8" x14ac:dyDescent="0.25">
      <c r="B31" s="2" t="s">
        <v>15</v>
      </c>
      <c r="C31" s="5">
        <v>0</v>
      </c>
      <c r="D31" s="5">
        <v>0</v>
      </c>
      <c r="E31" s="5">
        <v>0</v>
      </c>
      <c r="F31" s="5">
        <v>0</v>
      </c>
      <c r="G31" s="37">
        <f>C31+D31+E31+F31</f>
        <v>0</v>
      </c>
      <c r="H31" s="27"/>
    </row>
    <row r="32" spans="2:8" x14ac:dyDescent="0.25">
      <c r="B32" s="2" t="s">
        <v>16</v>
      </c>
      <c r="C32" s="5">
        <v>0</v>
      </c>
      <c r="D32" s="5">
        <v>0</v>
      </c>
      <c r="E32" s="5">
        <f>E54</f>
        <v>0</v>
      </c>
      <c r="F32" s="5">
        <f>F54</f>
        <v>0</v>
      </c>
      <c r="G32" s="37">
        <f>C32+D32+E32+F32</f>
        <v>0</v>
      </c>
      <c r="H32" s="27"/>
    </row>
    <row r="33" spans="2:8" x14ac:dyDescent="0.25">
      <c r="B33" s="3" t="s">
        <v>29</v>
      </c>
      <c r="C33" s="38">
        <v>0</v>
      </c>
      <c r="D33" s="38">
        <v>0</v>
      </c>
      <c r="E33" s="38">
        <f>E51</f>
        <v>23100</v>
      </c>
      <c r="F33" s="38">
        <v>0</v>
      </c>
      <c r="G33" s="38">
        <v>0</v>
      </c>
      <c r="H33" s="27"/>
    </row>
    <row r="35" spans="2:8" x14ac:dyDescent="0.25">
      <c r="B35" s="39" t="s">
        <v>20</v>
      </c>
      <c r="C35" s="40"/>
      <c r="D35" s="40"/>
      <c r="E35" s="40"/>
      <c r="F35" s="40"/>
      <c r="G35" s="41"/>
      <c r="H35" s="25"/>
    </row>
    <row r="36" spans="2:8" x14ac:dyDescent="0.25">
      <c r="B36" s="1" t="s">
        <v>3</v>
      </c>
      <c r="C36" s="1" t="s">
        <v>4</v>
      </c>
      <c r="D36" s="1" t="s">
        <v>17</v>
      </c>
      <c r="E36" s="1" t="s">
        <v>18</v>
      </c>
      <c r="F36" s="1" t="s">
        <v>19</v>
      </c>
      <c r="G36" s="1" t="s">
        <v>5</v>
      </c>
      <c r="H36" s="25"/>
    </row>
    <row r="37" spans="2:8" x14ac:dyDescent="0.25">
      <c r="B37" s="11" t="s">
        <v>7</v>
      </c>
      <c r="C37" s="10">
        <f>C38+C49</f>
        <v>18385319.450000003</v>
      </c>
      <c r="D37" s="10">
        <f>D38+D49</f>
        <v>20199531.749999996</v>
      </c>
      <c r="E37" s="10">
        <f>E38+E49</f>
        <v>21506387.110000003</v>
      </c>
      <c r="F37" s="10">
        <f>F38+F49</f>
        <v>26553201.110000003</v>
      </c>
      <c r="G37" s="10">
        <f>G38+G49</f>
        <v>86644439.420000002</v>
      </c>
      <c r="H37" s="26"/>
    </row>
    <row r="38" spans="2:8" x14ac:dyDescent="0.25">
      <c r="B38" s="2" t="s">
        <v>8</v>
      </c>
      <c r="C38" s="5">
        <f>C39+C40+C41+C42+C43+C44+C47</f>
        <v>18385319.450000003</v>
      </c>
      <c r="D38" s="5">
        <f>D39+D40+D41+D42+D43+D44+D47</f>
        <v>20199531.749999996</v>
      </c>
      <c r="E38" s="5">
        <f>E39+E40+E41+E42+E43+E44+E47</f>
        <v>21483287.110000003</v>
      </c>
      <c r="F38" s="5">
        <f>F39+F40+F41+F42+F43+F44+F47</f>
        <v>26553201.110000003</v>
      </c>
      <c r="G38" s="5">
        <f>G39+G40+G41+G42+G43+G44+G47</f>
        <v>86621339.420000002</v>
      </c>
      <c r="H38" s="27"/>
    </row>
    <row r="39" spans="2:8" x14ac:dyDescent="0.25">
      <c r="B39" s="2" t="s">
        <v>21</v>
      </c>
      <c r="C39" s="5">
        <v>0</v>
      </c>
      <c r="D39" s="5">
        <v>0</v>
      </c>
      <c r="E39" s="5">
        <v>0</v>
      </c>
      <c r="F39" s="5">
        <v>0</v>
      </c>
      <c r="G39" s="5">
        <f>C39+D39+E39+F39</f>
        <v>0</v>
      </c>
      <c r="H39" s="27"/>
    </row>
    <row r="40" spans="2:8" x14ac:dyDescent="0.25">
      <c r="B40" s="2" t="s">
        <v>22</v>
      </c>
      <c r="C40" s="5">
        <f>'QUADRO II'!F3</f>
        <v>33342.07</v>
      </c>
      <c r="D40" s="5">
        <f>'QUADRO II'!F12</f>
        <v>98342.510000000009</v>
      </c>
      <c r="E40" s="5">
        <f>'QUADRO II'!F21</f>
        <v>58245.38</v>
      </c>
      <c r="F40" s="5">
        <f>'QUADRO II'!F30</f>
        <v>74652.7</v>
      </c>
      <c r="G40" s="5">
        <f t="shared" ref="G40:G54" si="0">C40+D40+E40+F40</f>
        <v>264582.66000000003</v>
      </c>
      <c r="H40" s="27"/>
    </row>
    <row r="41" spans="2:8" x14ac:dyDescent="0.25">
      <c r="B41" s="2" t="s">
        <v>23</v>
      </c>
      <c r="C41" s="5">
        <f>'QUADRO II'!F5</f>
        <v>95232.43</v>
      </c>
      <c r="D41" s="5">
        <f>'QUADRO II'!F14</f>
        <v>46025.39</v>
      </c>
      <c r="E41" s="5">
        <f>'QUADRO II'!F23</f>
        <v>49481.440000000002</v>
      </c>
      <c r="F41" s="5">
        <f>'QUADRO II'!F32</f>
        <v>141168.5</v>
      </c>
      <c r="G41" s="5">
        <f t="shared" si="0"/>
        <v>331907.76</v>
      </c>
      <c r="H41" s="27"/>
    </row>
    <row r="42" spans="2:8" x14ac:dyDescent="0.25">
      <c r="B42" s="2" t="s">
        <v>24</v>
      </c>
      <c r="C42" s="5">
        <v>0</v>
      </c>
      <c r="D42" s="5">
        <v>0</v>
      </c>
      <c r="E42" s="5">
        <v>0</v>
      </c>
      <c r="F42" s="5">
        <v>0</v>
      </c>
      <c r="G42" s="5">
        <f t="shared" si="0"/>
        <v>0</v>
      </c>
      <c r="H42" s="27"/>
    </row>
    <row r="43" spans="2:8" x14ac:dyDescent="0.25">
      <c r="B43" s="2" t="s">
        <v>25</v>
      </c>
      <c r="C43" s="5">
        <f>'QUADRO II'!F4</f>
        <v>144565.29999999999</v>
      </c>
      <c r="D43" s="5">
        <f>'QUADRO II'!F13</f>
        <v>287730.95999999996</v>
      </c>
      <c r="E43" s="5">
        <f>'QUADRO II'!F22</f>
        <v>417598.66000000003</v>
      </c>
      <c r="F43" s="5">
        <f>'QUADRO II'!F31</f>
        <v>866030.71</v>
      </c>
      <c r="G43" s="5">
        <f t="shared" si="0"/>
        <v>1715925.63</v>
      </c>
      <c r="H43" s="27"/>
    </row>
    <row r="44" spans="2:8" x14ac:dyDescent="0.25">
      <c r="B44" s="2" t="s">
        <v>26</v>
      </c>
      <c r="C44" s="5">
        <f>C45+C46</f>
        <v>17816644.650000002</v>
      </c>
      <c r="D44" s="5">
        <f>D45+D46</f>
        <v>19739672.889999997</v>
      </c>
      <c r="E44" s="5">
        <f>E45+E46</f>
        <v>20155909.370000001</v>
      </c>
      <c r="F44" s="5">
        <f>F45+F46</f>
        <v>25401489.200000003</v>
      </c>
      <c r="G44" s="5">
        <f t="shared" si="0"/>
        <v>83113716.109999999</v>
      </c>
      <c r="H44" s="27"/>
    </row>
    <row r="45" spans="2:8" x14ac:dyDescent="0.25">
      <c r="B45" s="2" t="s">
        <v>52</v>
      </c>
      <c r="C45" s="5">
        <f>C64</f>
        <v>17757044.650000002</v>
      </c>
      <c r="D45" s="5">
        <f>D64</f>
        <v>19292072.889999997</v>
      </c>
      <c r="E45" s="5">
        <f>E64</f>
        <v>19890851.870000001</v>
      </c>
      <c r="F45" s="5">
        <f>F64</f>
        <v>24175252.670000002</v>
      </c>
      <c r="G45" s="5">
        <f t="shared" si="0"/>
        <v>81115222.079999998</v>
      </c>
      <c r="H45" s="27"/>
    </row>
    <row r="46" spans="2:8" x14ac:dyDescent="0.25">
      <c r="B46" s="2" t="s">
        <v>51</v>
      </c>
      <c r="C46" s="5">
        <f>'QUADRO II'!F6</f>
        <v>59600</v>
      </c>
      <c r="D46" s="5">
        <f>'QUADRO II'!F15</f>
        <v>447600</v>
      </c>
      <c r="E46" s="5">
        <f>'QUADRO II'!F24</f>
        <v>265057.5</v>
      </c>
      <c r="F46" s="5">
        <f>'QUADRO II'!F33</f>
        <v>1226236.53</v>
      </c>
      <c r="G46" s="5">
        <f t="shared" si="0"/>
        <v>1998494.03</v>
      </c>
      <c r="H46" s="27"/>
    </row>
    <row r="47" spans="2:8" x14ac:dyDescent="0.25">
      <c r="B47" s="2" t="s">
        <v>27</v>
      </c>
      <c r="C47" s="5">
        <f>'QUADRO II'!F7+'QUADRO II'!F8</f>
        <v>295535</v>
      </c>
      <c r="D47" s="5">
        <f>'QUADRO II'!F16+'QUADRO II'!F17</f>
        <v>27760</v>
      </c>
      <c r="E47" s="5">
        <f>'QUADRO II'!F26+'QUADRO II'!F25</f>
        <v>802052.26</v>
      </c>
      <c r="F47" s="5">
        <f>'QUADRO II'!F34+'QUADRO II'!F35</f>
        <v>69860</v>
      </c>
      <c r="G47" s="5">
        <f t="shared" si="0"/>
        <v>1195207.26</v>
      </c>
      <c r="H47" s="27"/>
    </row>
    <row r="48" spans="2:8" x14ac:dyDescent="0.25">
      <c r="B48" s="2"/>
      <c r="C48" s="5"/>
      <c r="D48" s="5"/>
      <c r="E48" s="5"/>
      <c r="F48" s="5"/>
      <c r="G48" s="5"/>
      <c r="H48" s="27"/>
    </row>
    <row r="49" spans="2:8" x14ac:dyDescent="0.25">
      <c r="B49" s="2" t="s">
        <v>9</v>
      </c>
      <c r="C49" s="5">
        <f>C50+C51+C52+C53+C54</f>
        <v>0</v>
      </c>
      <c r="D49" s="5">
        <f>D50+D51+D52+D53+D54</f>
        <v>0</v>
      </c>
      <c r="E49" s="5">
        <f>E50+E51+E52+E54</f>
        <v>23100</v>
      </c>
      <c r="F49" s="5">
        <f>F50+F51+F52+F54</f>
        <v>0</v>
      </c>
      <c r="G49" s="5">
        <f t="shared" si="0"/>
        <v>23100</v>
      </c>
      <c r="H49" s="27"/>
    </row>
    <row r="50" spans="2:8" x14ac:dyDescent="0.25">
      <c r="B50" s="2" t="s">
        <v>28</v>
      </c>
      <c r="C50" s="5">
        <v>0</v>
      </c>
      <c r="D50" s="5">
        <v>0</v>
      </c>
      <c r="E50" s="5">
        <v>0</v>
      </c>
      <c r="F50" s="5">
        <v>0</v>
      </c>
      <c r="G50" s="5">
        <f t="shared" si="0"/>
        <v>0</v>
      </c>
      <c r="H50" s="27"/>
    </row>
    <row r="51" spans="2:8" x14ac:dyDescent="0.25">
      <c r="B51" s="2" t="s">
        <v>29</v>
      </c>
      <c r="C51" s="5">
        <v>0</v>
      </c>
      <c r="D51" s="5">
        <v>0</v>
      </c>
      <c r="E51" s="5">
        <v>23100</v>
      </c>
      <c r="F51" s="5">
        <v>0</v>
      </c>
      <c r="G51" s="5">
        <f t="shared" si="0"/>
        <v>23100</v>
      </c>
      <c r="H51" s="27"/>
    </row>
    <row r="52" spans="2:8" x14ac:dyDescent="0.25">
      <c r="B52" s="2" t="s">
        <v>30</v>
      </c>
      <c r="C52" s="5">
        <v>0</v>
      </c>
      <c r="D52" s="5">
        <v>0</v>
      </c>
      <c r="E52" s="5">
        <v>0</v>
      </c>
      <c r="F52" s="5">
        <v>0</v>
      </c>
      <c r="G52" s="5">
        <f t="shared" si="0"/>
        <v>0</v>
      </c>
      <c r="H52" s="27"/>
    </row>
    <row r="53" spans="2:8" x14ac:dyDescent="0.25">
      <c r="B53" s="2" t="s">
        <v>31</v>
      </c>
      <c r="C53" s="5">
        <v>0</v>
      </c>
      <c r="D53" s="5">
        <f>D78</f>
        <v>0</v>
      </c>
      <c r="E53" s="5">
        <v>0</v>
      </c>
      <c r="F53" s="5">
        <v>0</v>
      </c>
      <c r="G53" s="5">
        <f t="shared" si="0"/>
        <v>0</v>
      </c>
      <c r="H53" s="27"/>
    </row>
    <row r="54" spans="2:8" x14ac:dyDescent="0.25">
      <c r="B54" s="3" t="s">
        <v>32</v>
      </c>
      <c r="C54" s="7">
        <v>0</v>
      </c>
      <c r="D54" s="7">
        <v>0</v>
      </c>
      <c r="E54" s="7">
        <v>0</v>
      </c>
      <c r="F54" s="7">
        <v>0</v>
      </c>
      <c r="G54" s="7">
        <f t="shared" si="0"/>
        <v>0</v>
      </c>
      <c r="H54" s="27"/>
    </row>
    <row r="62" spans="2:8" x14ac:dyDescent="0.25">
      <c r="B62" s="39" t="s">
        <v>33</v>
      </c>
      <c r="C62" s="40"/>
      <c r="D62" s="40"/>
      <c r="E62" s="40"/>
      <c r="F62" s="40"/>
      <c r="G62" s="41"/>
      <c r="H62" s="25"/>
    </row>
    <row r="63" spans="2:8" x14ac:dyDescent="0.25">
      <c r="B63" s="1" t="s">
        <v>3</v>
      </c>
      <c r="C63" s="1" t="s">
        <v>4</v>
      </c>
      <c r="D63" s="1" t="s">
        <v>17</v>
      </c>
      <c r="E63" s="1" t="s">
        <v>18</v>
      </c>
      <c r="F63" s="1" t="s">
        <v>19</v>
      </c>
      <c r="G63" s="1" t="s">
        <v>5</v>
      </c>
      <c r="H63" s="25"/>
    </row>
    <row r="64" spans="2:8" x14ac:dyDescent="0.25">
      <c r="B64" s="11" t="s">
        <v>10</v>
      </c>
      <c r="C64" s="10">
        <f>C65+C78</f>
        <v>17757044.650000002</v>
      </c>
      <c r="D64" s="10">
        <f>D65+D78</f>
        <v>19292072.889999997</v>
      </c>
      <c r="E64" s="10">
        <f>E65+E78</f>
        <v>19890851.870000001</v>
      </c>
      <c r="F64" s="10">
        <f>F65+F78</f>
        <v>24175252.670000002</v>
      </c>
      <c r="G64" s="10">
        <f>G65+G78</f>
        <v>81115222.079999998</v>
      </c>
      <c r="H64" s="26"/>
    </row>
    <row r="65" spans="2:8" x14ac:dyDescent="0.25">
      <c r="B65" s="2" t="s">
        <v>11</v>
      </c>
      <c r="C65" s="5">
        <f>C66+C71+C72</f>
        <v>17757044.650000002</v>
      </c>
      <c r="D65" s="5">
        <f>D66+D71+D72</f>
        <v>19292072.889999997</v>
      </c>
      <c r="E65" s="5">
        <f>E66+E71+E72</f>
        <v>19890851.870000001</v>
      </c>
      <c r="F65" s="5">
        <f>F66+F71+F72</f>
        <v>23687969.930000003</v>
      </c>
      <c r="G65" s="5">
        <f>G66+G71+G72</f>
        <v>80627939.340000004</v>
      </c>
      <c r="H65" s="27"/>
    </row>
    <row r="66" spans="2:8" x14ac:dyDescent="0.25">
      <c r="B66" s="2" t="s">
        <v>34</v>
      </c>
      <c r="C66" s="5">
        <f>C67+C68+C69+C70</f>
        <v>16479167.630000001</v>
      </c>
      <c r="D66" s="5">
        <f>D67+D68+D69+D70</f>
        <v>17039866.319999997</v>
      </c>
      <c r="E66" s="5">
        <f>E67+E68+E69+E70</f>
        <v>17206094.719999999</v>
      </c>
      <c r="F66" s="5">
        <f>F67+F68+F69+F70</f>
        <v>21617697.000000004</v>
      </c>
      <c r="G66" s="5">
        <f>G67+G68+G69+G70</f>
        <v>72342825.670000002</v>
      </c>
      <c r="H66" s="27"/>
    </row>
    <row r="67" spans="2:8" x14ac:dyDescent="0.25">
      <c r="B67" s="2" t="s">
        <v>35</v>
      </c>
      <c r="C67" s="5">
        <f>9193119.35+464647.65</f>
        <v>9657767</v>
      </c>
      <c r="D67" s="5">
        <f>(19125991.56+464647.65)-C67</f>
        <v>9932872.2099999972</v>
      </c>
      <c r="E67" s="5">
        <f>(27470222.86+2201785.65)-D67-C67</f>
        <v>10081369.300000001</v>
      </c>
      <c r="F67" s="5">
        <f>41233052.07-E67-D67-C67</f>
        <v>11561043.560000002</v>
      </c>
      <c r="G67" s="5">
        <f>C67+D67+E67+F67</f>
        <v>41233052.07</v>
      </c>
      <c r="H67" s="27"/>
    </row>
    <row r="68" spans="2:8" x14ac:dyDescent="0.25">
      <c r="B68" s="2" t="s">
        <v>36</v>
      </c>
      <c r="C68" s="5">
        <f>1080379.06+545613.13</f>
        <v>1625992.19</v>
      </c>
      <c r="D68" s="5">
        <f>(2982743.5+545613.13)-C68</f>
        <v>1902364.44</v>
      </c>
      <c r="E68" s="5">
        <f>(4937309.5+545613.13)-D68-C68</f>
        <v>1954566</v>
      </c>
      <c r="F68" s="5">
        <f>7565275.78-E68-D68-C68</f>
        <v>2082353.1500000004</v>
      </c>
      <c r="G68" s="5">
        <f t="shared" ref="G68:G76" si="1">C68+D68+E68+F68</f>
        <v>7565275.7800000003</v>
      </c>
      <c r="H68" s="27"/>
    </row>
    <row r="69" spans="2:8" x14ac:dyDescent="0.25">
      <c r="B69" s="2" t="s">
        <v>71</v>
      </c>
      <c r="C69" s="5">
        <f>362458.94+1146041.61</f>
        <v>1508500.55</v>
      </c>
      <c r="D69" s="5">
        <f>(731014.78+2299436.59)-C69</f>
        <v>1521950.82</v>
      </c>
      <c r="E69" s="5">
        <f>(1001635.07+3466562.85)-D69-C69</f>
        <v>1437746.5499999996</v>
      </c>
      <c r="F69" s="5">
        <f>6794700.24-E69-D69-C69</f>
        <v>2326502.3200000003</v>
      </c>
      <c r="G69" s="5">
        <f t="shared" si="1"/>
        <v>6794700.2400000002</v>
      </c>
      <c r="H69" s="27"/>
    </row>
    <row r="70" spans="2:8" x14ac:dyDescent="0.25">
      <c r="B70" s="2" t="s">
        <v>37</v>
      </c>
      <c r="C70" s="5">
        <f>18.75+3686889.14</f>
        <v>3686907.89</v>
      </c>
      <c r="D70" s="5">
        <f>(37.5+7369549.24)-C70</f>
        <v>3682678.85</v>
      </c>
      <c r="E70" s="5">
        <f>(11101943.36+56.25)-D70-C70</f>
        <v>3732412.8699999996</v>
      </c>
      <c r="F70" s="5">
        <f>16749797.58-E70-D70-C70</f>
        <v>5647797.9700000007</v>
      </c>
      <c r="G70" s="5">
        <f t="shared" si="1"/>
        <v>16749797.58</v>
      </c>
      <c r="H70" s="27"/>
    </row>
    <row r="71" spans="2:8" x14ac:dyDescent="0.25">
      <c r="B71" s="2" t="s">
        <v>38</v>
      </c>
      <c r="C71" s="5">
        <v>0</v>
      </c>
      <c r="D71" s="5">
        <v>0</v>
      </c>
      <c r="E71" s="5">
        <v>0</v>
      </c>
      <c r="F71" s="5">
        <v>0</v>
      </c>
      <c r="G71" s="5">
        <f t="shared" si="1"/>
        <v>0</v>
      </c>
      <c r="H71" s="27"/>
    </row>
    <row r="72" spans="2:8" x14ac:dyDescent="0.25">
      <c r="B72" s="2" t="s">
        <v>39</v>
      </c>
      <c r="C72" s="5">
        <f>C73+C74+C75+C76</f>
        <v>1277877.02</v>
      </c>
      <c r="D72" s="5">
        <f>D73+D74+D75+D76</f>
        <v>2252206.5699999994</v>
      </c>
      <c r="E72" s="5">
        <f>E73+E74+E75+E76</f>
        <v>2684757.1500000008</v>
      </c>
      <c r="F72" s="5">
        <f>F73+F74+F75+F76</f>
        <v>2070272.929999999</v>
      </c>
      <c r="G72" s="5">
        <f>G73+G74+G75+G76</f>
        <v>8285113.6699999999</v>
      </c>
      <c r="H72" s="27"/>
    </row>
    <row r="73" spans="2:8" x14ac:dyDescent="0.25">
      <c r="B73" s="2" t="s">
        <v>40</v>
      </c>
      <c r="C73" s="5">
        <f>27570.18</f>
        <v>27570.18</v>
      </c>
      <c r="D73" s="5">
        <f>153250.4-C73</f>
        <v>125680.22</v>
      </c>
      <c r="E73" s="5">
        <f>(327350.7)-D73-C73</f>
        <v>174100.30000000002</v>
      </c>
      <c r="F73" s="5">
        <f>445983.49-E73-D73-C73</f>
        <v>118632.78999999995</v>
      </c>
      <c r="G73" s="5">
        <f t="shared" si="1"/>
        <v>445983.49</v>
      </c>
      <c r="H73" s="27"/>
    </row>
    <row r="74" spans="2:8" x14ac:dyDescent="0.25">
      <c r="B74" s="2" t="s">
        <v>41</v>
      </c>
      <c r="C74" s="5">
        <f>4769.15</f>
        <v>4769.1499999999996</v>
      </c>
      <c r="D74" s="5">
        <f>(17373.91+893.59)-C74</f>
        <v>13498.35</v>
      </c>
      <c r="E74" s="5">
        <f>(17373.91+3874.71)-D74-C74</f>
        <v>2981.119999999999</v>
      </c>
      <c r="F74" s="5">
        <f>(17679.7+4006.35)-E74-D74-C74</f>
        <v>437.43000000000029</v>
      </c>
      <c r="G74" s="5">
        <f t="shared" si="1"/>
        <v>21686.05</v>
      </c>
      <c r="H74" s="27"/>
    </row>
    <row r="75" spans="2:8" x14ac:dyDescent="0.25">
      <c r="B75" s="2" t="s">
        <v>42</v>
      </c>
      <c r="C75" s="8">
        <f>120278.3+204974.54+49647.29</f>
        <v>374900.13</v>
      </c>
      <c r="D75" s="5">
        <f>(314081.22+754931.58+49647.29+177399.88)-C75</f>
        <v>921159.83999999973</v>
      </c>
      <c r="E75" s="5">
        <f>(518183.57+976471.17+49647.29+401242.01)-D75-C75</f>
        <v>649484.0700000003</v>
      </c>
      <c r="F75" s="5">
        <f>2611776.98-E75-D75-C75</f>
        <v>666232.93999999994</v>
      </c>
      <c r="G75" s="5">
        <f t="shared" si="1"/>
        <v>2611776.98</v>
      </c>
      <c r="H75" s="27"/>
    </row>
    <row r="76" spans="2:8" x14ac:dyDescent="0.25">
      <c r="B76" s="2" t="s">
        <v>49</v>
      </c>
      <c r="C76" s="5">
        <f>805900.78+7849.5+8400+1030+33300+10168.28+3989</f>
        <v>870637.56</v>
      </c>
      <c r="D76" s="5">
        <f>(12496.5+19600+1700354.4+2987+127526+20782.76+3633+3989+130911.06+40226)-C76</f>
        <v>1191868.1599999999</v>
      </c>
      <c r="E76" s="5">
        <f>(28340.16+25800+1728651.34+4223+1116+130950+31277.81+5103+3989+846881.22+106376+1007989.85)-D76-C76</f>
        <v>1858191.6600000006</v>
      </c>
      <c r="F76" s="5">
        <f>5205667.15-C76-D76-E76</f>
        <v>1284969.7699999991</v>
      </c>
      <c r="G76" s="5">
        <f t="shared" si="1"/>
        <v>5205667.1500000004</v>
      </c>
      <c r="H76" s="27"/>
    </row>
    <row r="77" spans="2:8" x14ac:dyDescent="0.25">
      <c r="B77" s="2"/>
      <c r="C77" s="5"/>
      <c r="D77" s="5"/>
      <c r="E77" s="5"/>
      <c r="F77" s="5"/>
      <c r="G77" s="5"/>
      <c r="H77" s="27"/>
    </row>
    <row r="78" spans="2:8" x14ac:dyDescent="0.25">
      <c r="B78" s="2" t="s">
        <v>12</v>
      </c>
      <c r="C78" s="5">
        <f>C79+C82+C83</f>
        <v>0</v>
      </c>
      <c r="D78" s="5">
        <f>D79+D82+D83</f>
        <v>0</v>
      </c>
      <c r="E78" s="5">
        <f>E79+E82+E83</f>
        <v>0</v>
      </c>
      <c r="F78" s="5">
        <f>F79+F82+F83</f>
        <v>487282.74</v>
      </c>
      <c r="G78" s="5">
        <f>G79+G82+G83</f>
        <v>487282.74</v>
      </c>
      <c r="H78" s="27"/>
    </row>
    <row r="79" spans="2:8" x14ac:dyDescent="0.25">
      <c r="B79" s="2" t="s">
        <v>43</v>
      </c>
      <c r="C79" s="5">
        <f>C80+C81</f>
        <v>0</v>
      </c>
      <c r="D79" s="5">
        <f>D80+D81</f>
        <v>0</v>
      </c>
      <c r="E79" s="5">
        <f>E80+E81</f>
        <v>0</v>
      </c>
      <c r="F79" s="5">
        <f>F80+F81</f>
        <v>487282.74</v>
      </c>
      <c r="G79" s="5">
        <f>G80+G81</f>
        <v>487282.74</v>
      </c>
      <c r="H79" s="27"/>
    </row>
    <row r="80" spans="2:8" x14ac:dyDescent="0.25">
      <c r="B80" s="2" t="s">
        <v>44</v>
      </c>
      <c r="C80" s="5">
        <v>0</v>
      </c>
      <c r="D80" s="5">
        <v>0</v>
      </c>
      <c r="E80" s="5">
        <v>0</v>
      </c>
      <c r="F80" s="5">
        <f>272600+100733.58</f>
        <v>373333.58</v>
      </c>
      <c r="G80" s="5">
        <f>C80+D80+E80+F80</f>
        <v>373333.58</v>
      </c>
      <c r="H80" s="27"/>
    </row>
    <row r="81" spans="2:8" x14ac:dyDescent="0.25">
      <c r="B81" s="2" t="s">
        <v>45</v>
      </c>
      <c r="C81" s="5">
        <v>0</v>
      </c>
      <c r="D81" s="5">
        <v>0</v>
      </c>
      <c r="E81" s="5">
        <v>0</v>
      </c>
      <c r="F81" s="5">
        <v>113949.16</v>
      </c>
      <c r="G81" s="5">
        <f>C81+D81+E81+F81</f>
        <v>113949.16</v>
      </c>
      <c r="H81" s="27"/>
    </row>
    <row r="82" spans="2:8" x14ac:dyDescent="0.25">
      <c r="B82" s="2" t="s">
        <v>46</v>
      </c>
      <c r="C82" s="5">
        <v>0</v>
      </c>
      <c r="D82" s="5">
        <v>0</v>
      </c>
      <c r="E82" s="5">
        <v>0</v>
      </c>
      <c r="F82" s="5">
        <v>0</v>
      </c>
      <c r="G82" s="5">
        <f>C82+D82+E82+F82</f>
        <v>0</v>
      </c>
      <c r="H82" s="27"/>
    </row>
    <row r="83" spans="2:8" x14ac:dyDescent="0.25">
      <c r="B83" s="3" t="s">
        <v>47</v>
      </c>
      <c r="C83" s="7">
        <v>0</v>
      </c>
      <c r="D83" s="7">
        <v>0</v>
      </c>
      <c r="E83" s="7">
        <v>0</v>
      </c>
      <c r="F83" s="7">
        <v>0</v>
      </c>
      <c r="G83" s="7">
        <f>C83+D83+E83+F83</f>
        <v>0</v>
      </c>
      <c r="H83" s="27"/>
    </row>
    <row r="85" spans="2:8" x14ac:dyDescent="0.25">
      <c r="B85" s="39" t="s">
        <v>48</v>
      </c>
      <c r="C85" s="40"/>
      <c r="D85" s="40"/>
      <c r="E85" s="40"/>
      <c r="F85" s="40"/>
      <c r="G85" s="41"/>
      <c r="H85" s="25"/>
    </row>
    <row r="86" spans="2:8" x14ac:dyDescent="0.25">
      <c r="B86" s="1" t="s">
        <v>3</v>
      </c>
      <c r="C86" s="1" t="s">
        <v>4</v>
      </c>
      <c r="D86" s="1" t="s">
        <v>17</v>
      </c>
      <c r="E86" s="1" t="s">
        <v>18</v>
      </c>
      <c r="F86" s="1" t="s">
        <v>19</v>
      </c>
      <c r="G86" s="1" t="s">
        <v>5</v>
      </c>
      <c r="H86" s="25"/>
    </row>
    <row r="87" spans="2:8" x14ac:dyDescent="0.25">
      <c r="B87" s="11" t="s">
        <v>10</v>
      </c>
      <c r="C87" s="10">
        <f>C88+C100</f>
        <v>496533.70999999996</v>
      </c>
      <c r="D87" s="10">
        <f>D88+D100</f>
        <v>1246640.29</v>
      </c>
      <c r="E87" s="10">
        <f>E88+E100</f>
        <v>788437.16</v>
      </c>
      <c r="F87" s="10">
        <f>F88+F100</f>
        <v>1414536.2700000003</v>
      </c>
      <c r="G87" s="10">
        <f>G88+G100</f>
        <v>3946147.43</v>
      </c>
      <c r="H87" s="26"/>
    </row>
    <row r="88" spans="2:8" x14ac:dyDescent="0.25">
      <c r="B88" s="2" t="s">
        <v>11</v>
      </c>
      <c r="C88" s="5">
        <f>C89+C93+C94</f>
        <v>486534.72</v>
      </c>
      <c r="D88" s="5">
        <f>D89+D93+D94</f>
        <v>1147327.95</v>
      </c>
      <c r="E88" s="5">
        <f>E89+E93+E94</f>
        <v>681526.36</v>
      </c>
      <c r="F88" s="5">
        <f>F89+F93+F94</f>
        <v>1240963.7400000002</v>
      </c>
      <c r="G88" s="5">
        <f>G89+G93+G94</f>
        <v>3556352.77</v>
      </c>
      <c r="H88" s="27"/>
    </row>
    <row r="89" spans="2:8" x14ac:dyDescent="0.25">
      <c r="B89" s="2" t="s">
        <v>34</v>
      </c>
      <c r="C89" s="5">
        <f>C90+C91+C92</f>
        <v>0</v>
      </c>
      <c r="D89" s="5">
        <f>D90+D91+D92</f>
        <v>0</v>
      </c>
      <c r="E89" s="5">
        <f>E90+E91+E92</f>
        <v>0</v>
      </c>
      <c r="F89" s="5">
        <f>F90+F91+F92</f>
        <v>0</v>
      </c>
      <c r="G89" s="5">
        <f>G90+G91+G92</f>
        <v>0</v>
      </c>
      <c r="H89" s="27"/>
    </row>
    <row r="90" spans="2:8" x14ac:dyDescent="0.25">
      <c r="B90" s="2" t="s">
        <v>35</v>
      </c>
      <c r="C90" s="5">
        <v>0</v>
      </c>
      <c r="D90" s="5">
        <v>0</v>
      </c>
      <c r="E90" s="5">
        <v>0</v>
      </c>
      <c r="F90" s="5">
        <v>0</v>
      </c>
      <c r="G90" s="5">
        <f>C90+D90+E90+F90</f>
        <v>0</v>
      </c>
      <c r="H90" s="27"/>
    </row>
    <row r="91" spans="2:8" x14ac:dyDescent="0.25">
      <c r="B91" s="2" t="s">
        <v>36</v>
      </c>
      <c r="C91" s="5">
        <v>0</v>
      </c>
      <c r="D91" s="5">
        <v>0</v>
      </c>
      <c r="E91" s="5">
        <v>0</v>
      </c>
      <c r="F91" s="5">
        <v>0</v>
      </c>
      <c r="G91" s="5">
        <f>C91+D91+E91+F91</f>
        <v>0</v>
      </c>
      <c r="H91" s="27"/>
    </row>
    <row r="92" spans="2:8" x14ac:dyDescent="0.25">
      <c r="B92" s="2" t="s">
        <v>37</v>
      </c>
      <c r="C92" s="5">
        <v>0</v>
      </c>
      <c r="D92" s="5">
        <v>0</v>
      </c>
      <c r="E92" s="5">
        <v>0</v>
      </c>
      <c r="F92" s="5">
        <v>0</v>
      </c>
      <c r="G92" s="5">
        <f>C92+D92+E92+F92</f>
        <v>0</v>
      </c>
      <c r="H92" s="27"/>
    </row>
    <row r="93" spans="2:8" x14ac:dyDescent="0.25">
      <c r="B93" s="2" t="s">
        <v>38</v>
      </c>
      <c r="C93" s="5">
        <v>0</v>
      </c>
      <c r="D93" s="5">
        <v>0</v>
      </c>
      <c r="E93" s="5">
        <v>0</v>
      </c>
      <c r="F93" s="5">
        <v>0</v>
      </c>
      <c r="G93" s="5">
        <f>C93+D93+E93+F93</f>
        <v>0</v>
      </c>
      <c r="H93" s="27"/>
    </row>
    <row r="94" spans="2:8" x14ac:dyDescent="0.25">
      <c r="B94" s="2" t="s">
        <v>39</v>
      </c>
      <c r="C94" s="5">
        <f>C95+C96+C97+C98</f>
        <v>486534.72</v>
      </c>
      <c r="D94" s="5">
        <f>D95+D96+D97+D98</f>
        <v>1147327.95</v>
      </c>
      <c r="E94" s="5">
        <f>E95+E96+E97+E98</f>
        <v>681526.36</v>
      </c>
      <c r="F94" s="5">
        <f>F95+F96+F97+F98</f>
        <v>1240963.7400000002</v>
      </c>
      <c r="G94" s="5">
        <f>G95+G96+G97+G98</f>
        <v>3556352.77</v>
      </c>
      <c r="H94" s="27"/>
    </row>
    <row r="95" spans="2:8" x14ac:dyDescent="0.25">
      <c r="B95" s="2" t="s">
        <v>40</v>
      </c>
      <c r="C95" s="5">
        <f>76435.97</f>
        <v>76435.97</v>
      </c>
      <c r="D95" s="5">
        <f>(245734.51+3865.41)-C95</f>
        <v>173163.95</v>
      </c>
      <c r="E95" s="5">
        <f>(336820.02+7249.92+23999.12)-D95-C95</f>
        <v>118469.13999999998</v>
      </c>
      <c r="F95" s="5">
        <f>(628236.82+15141.42+24703.51)-E95-D95-C95</f>
        <v>300012.68999999994</v>
      </c>
      <c r="G95" s="5">
        <f>C95+D95+E95+F95</f>
        <v>668081.75</v>
      </c>
      <c r="H95" s="27"/>
    </row>
    <row r="96" spans="2:8" x14ac:dyDescent="0.25">
      <c r="B96" s="2" t="s">
        <v>41</v>
      </c>
      <c r="C96" s="5">
        <f>11131.77</f>
        <v>11131.77</v>
      </c>
      <c r="D96" s="5">
        <f>(30659.09+3349.85)-C96</f>
        <v>22877.170000000002</v>
      </c>
      <c r="E96" s="5">
        <f>(60110.86+8816.19+1337.26)-D96-C96</f>
        <v>36255.369999999995</v>
      </c>
      <c r="F96" s="5">
        <f>(84043.6+11006.12+5702.72)-E96-D96-C96</f>
        <v>30488.130000000008</v>
      </c>
      <c r="G96" s="5">
        <f>C96+D96+E96+F96</f>
        <v>100752.44</v>
      </c>
      <c r="H96" s="27"/>
    </row>
    <row r="97" spans="2:8" x14ac:dyDescent="0.25">
      <c r="B97" s="2" t="s">
        <v>42</v>
      </c>
      <c r="C97" s="5">
        <f>30059.2+64602.93+7500+4679.59</f>
        <v>106841.72</v>
      </c>
      <c r="D97" s="5">
        <f>(79157.34+174629.16+7500+32332.65)-C97</f>
        <v>186777.43000000002</v>
      </c>
      <c r="E97" s="5">
        <f>(112524.34+284963.44+7500+15522.66+53300.15)-D97-C97</f>
        <v>180191.44000000003</v>
      </c>
      <c r="F97" s="5">
        <f>(410208.1+432293.83+7500+16870.66+69496.15)-E97-D97-C97</f>
        <v>462558.14999999991</v>
      </c>
      <c r="G97" s="5">
        <f>C97+D97+E97+F97</f>
        <v>936368.74</v>
      </c>
      <c r="H97" s="27"/>
    </row>
    <row r="98" spans="2:8" x14ac:dyDescent="0.25">
      <c r="B98" s="2" t="s">
        <v>49</v>
      </c>
      <c r="C98" s="5">
        <f>5767+34925.76+4168.23+6105.03+1500+1069.2+2120+229700+2500+4270.04</f>
        <v>292125.25999999995</v>
      </c>
      <c r="D98" s="5">
        <f>(31795.66+72448.66+1261.94+7170.8+15476.99+4333.69+461.38+38885.76+1500+948.96+177136.72+2970+522850+2500+5600+155229.18+16064.92)-C98</f>
        <v>764509.39999999991</v>
      </c>
      <c r="E98" s="5">
        <f>(58564.18+95022.98+7331.06+17544.13+24631.81+4333.69+12430.58+41685.76+1500+733.8+183119.08+7924+741650+2500+5600+165024.59+33649.41)-D98-C98</f>
        <v>346610.41</v>
      </c>
      <c r="F98" s="5">
        <f>(96309.76+167069.98+8643.04+41114.09+43328.65+4333.69+21401.38+41685.76+1500+828.8+183119.08+19588.14+1001250+5000+5600+169669.2+40708.27)-E98-D98-C98</f>
        <v>447904.77000000031</v>
      </c>
      <c r="G98" s="5">
        <f>C98+D98+E98+F98</f>
        <v>1851149.84</v>
      </c>
      <c r="H98" s="27"/>
    </row>
    <row r="99" spans="2:8" x14ac:dyDescent="0.25">
      <c r="B99" s="2"/>
      <c r="C99" s="5"/>
      <c r="D99" s="5"/>
      <c r="E99" s="5"/>
      <c r="F99" s="5"/>
      <c r="G99" s="5"/>
      <c r="H99" s="27"/>
    </row>
    <row r="100" spans="2:8" x14ac:dyDescent="0.25">
      <c r="B100" s="2" t="s">
        <v>12</v>
      </c>
      <c r="C100" s="5">
        <f>C101+C104+C105</f>
        <v>9998.99</v>
      </c>
      <c r="D100" s="5">
        <f>D101+D104+D105</f>
        <v>99312.34</v>
      </c>
      <c r="E100" s="5">
        <f>E101+E104+E105</f>
        <v>106910.8</v>
      </c>
      <c r="F100" s="5">
        <f>F101+F104+F105</f>
        <v>173572.53000000006</v>
      </c>
      <c r="G100" s="5">
        <f>G101+G104+G105</f>
        <v>389794.66000000003</v>
      </c>
      <c r="H100" s="27"/>
    </row>
    <row r="101" spans="2:8" x14ac:dyDescent="0.25">
      <c r="B101" s="2" t="s">
        <v>43</v>
      </c>
      <c r="C101" s="5">
        <f>C102+C103</f>
        <v>9998.99</v>
      </c>
      <c r="D101" s="5">
        <f>D102+D103</f>
        <v>99312.34</v>
      </c>
      <c r="E101" s="5">
        <f>E102+E103</f>
        <v>106910.8</v>
      </c>
      <c r="F101" s="5">
        <f>F102+F103</f>
        <v>173572.53000000006</v>
      </c>
      <c r="G101" s="5">
        <f>G102+G103</f>
        <v>389794.66000000003</v>
      </c>
      <c r="H101" s="27"/>
    </row>
    <row r="102" spans="2:8" x14ac:dyDescent="0.25">
      <c r="B102" s="2" t="s">
        <v>44</v>
      </c>
      <c r="C102" s="5">
        <v>0</v>
      </c>
      <c r="D102" s="5">
        <v>0</v>
      </c>
      <c r="E102" s="5">
        <v>0</v>
      </c>
      <c r="F102" s="5">
        <v>0</v>
      </c>
      <c r="G102" s="5">
        <f>C102+D102+E102+F102</f>
        <v>0</v>
      </c>
      <c r="H102" s="27"/>
    </row>
    <row r="103" spans="2:8" x14ac:dyDescent="0.25">
      <c r="B103" s="2" t="s">
        <v>45</v>
      </c>
      <c r="C103" s="5">
        <f>9998.99</f>
        <v>9998.99</v>
      </c>
      <c r="D103" s="5">
        <f>(25585.52+80225.81+3500)-C103</f>
        <v>99312.34</v>
      </c>
      <c r="E103" s="5">
        <f>(96905.21+80225.81+39091.11)-D103-C103</f>
        <v>106910.8</v>
      </c>
      <c r="F103" s="5">
        <f>(262383.7+80225.81+47185.15)-E103-D103-C103</f>
        <v>173572.53000000006</v>
      </c>
      <c r="G103" s="5">
        <f>C103+D103+E103+F103</f>
        <v>389794.66000000003</v>
      </c>
      <c r="H103" s="27"/>
    </row>
    <row r="104" spans="2:8" x14ac:dyDescent="0.25">
      <c r="B104" s="2" t="s">
        <v>46</v>
      </c>
      <c r="C104" s="5">
        <v>0</v>
      </c>
      <c r="D104" s="5">
        <v>0</v>
      </c>
      <c r="E104" s="5">
        <v>0</v>
      </c>
      <c r="F104" s="5">
        <v>0</v>
      </c>
      <c r="G104" s="5">
        <f>C104+D104+E104+F104</f>
        <v>0</v>
      </c>
      <c r="H104" s="27"/>
    </row>
    <row r="105" spans="2:8" x14ac:dyDescent="0.25">
      <c r="B105" s="3" t="s">
        <v>47</v>
      </c>
      <c r="C105" s="7">
        <v>0</v>
      </c>
      <c r="D105" s="7">
        <v>0</v>
      </c>
      <c r="E105" s="7">
        <v>0</v>
      </c>
      <c r="F105" s="7">
        <v>0</v>
      </c>
      <c r="G105" s="7">
        <f>C105+D105+E105+F105</f>
        <v>0</v>
      </c>
      <c r="H105" s="27"/>
    </row>
  </sheetData>
  <mergeCells count="8">
    <mergeCell ref="B62:G62"/>
    <mergeCell ref="B85:G85"/>
    <mergeCell ref="B2:G2"/>
    <mergeCell ref="B4:G4"/>
    <mergeCell ref="B6:G6"/>
    <mergeCell ref="B8:G8"/>
    <mergeCell ref="B18:G18"/>
    <mergeCell ref="B35:G35"/>
  </mergeCells>
  <pageMargins left="0.31496062992125984" right="0.11811023622047245" top="0.78740157480314965" bottom="0.78740157480314965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zoomScale="80" zoomScaleNormal="80" workbookViewId="0">
      <selection activeCell="L14" sqref="L14"/>
    </sheetView>
  </sheetViews>
  <sheetFormatPr defaultRowHeight="15" x14ac:dyDescent="0.25"/>
  <cols>
    <col min="1" max="1" width="2.42578125" customWidth="1"/>
    <col min="2" max="2" width="47.140625" customWidth="1"/>
    <col min="3" max="6" width="15.7109375" customWidth="1"/>
    <col min="7" max="7" width="4.28515625" customWidth="1"/>
    <col min="8" max="8" width="21" customWidth="1"/>
    <col min="9" max="15" width="15.7109375" customWidth="1"/>
  </cols>
  <sheetData>
    <row r="1" spans="2:15" ht="9.9499999999999993" customHeight="1" thickBot="1" x14ac:dyDescent="0.3"/>
    <row r="2" spans="2:15" x14ac:dyDescent="0.25">
      <c r="B2" s="17" t="s">
        <v>57</v>
      </c>
      <c r="C2" s="18" t="s">
        <v>65</v>
      </c>
      <c r="D2" s="18" t="s">
        <v>66</v>
      </c>
      <c r="E2" s="18" t="s">
        <v>67</v>
      </c>
      <c r="F2" s="19" t="s">
        <v>56</v>
      </c>
      <c r="H2" s="30" t="s">
        <v>72</v>
      </c>
      <c r="I2" s="31" t="s">
        <v>73</v>
      </c>
      <c r="J2" s="31" t="s">
        <v>74</v>
      </c>
      <c r="K2" s="31" t="s">
        <v>84</v>
      </c>
      <c r="L2" s="31" t="s">
        <v>76</v>
      </c>
      <c r="M2" s="31" t="s">
        <v>77</v>
      </c>
      <c r="N2" s="31" t="s">
        <v>75</v>
      </c>
      <c r="O2" s="31" t="s">
        <v>56</v>
      </c>
    </row>
    <row r="3" spans="2:15" x14ac:dyDescent="0.25">
      <c r="B3" s="20" t="s">
        <v>61</v>
      </c>
      <c r="C3" s="16">
        <f>I3+I19+I35+I51</f>
        <v>14304.08</v>
      </c>
      <c r="D3" s="16">
        <f>I4+I20+I36+I52</f>
        <v>10299.280000000001</v>
      </c>
      <c r="E3" s="16">
        <f>I5+I21+I37+I53</f>
        <v>8738.7100000000009</v>
      </c>
      <c r="F3" s="21">
        <f t="shared" ref="F3:F8" si="0">SUM(C3:E3)</f>
        <v>33342.07</v>
      </c>
      <c r="H3" s="32" t="s">
        <v>65</v>
      </c>
      <c r="I3" s="16">
        <f>904.25+3934.42+3019.58</f>
        <v>7858.25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33">
        <f t="shared" ref="O3:O14" si="1">SUM(I3:N3)</f>
        <v>7858.25</v>
      </c>
    </row>
    <row r="4" spans="2:15" x14ac:dyDescent="0.25">
      <c r="B4" s="20" t="s">
        <v>58</v>
      </c>
      <c r="C4" s="16">
        <f>J3+J19+J35+J51</f>
        <v>42452.9</v>
      </c>
      <c r="D4" s="16">
        <f>J4+J20+J36+J52</f>
        <v>26951.82</v>
      </c>
      <c r="E4" s="16">
        <f>J5+J21+J37+J53</f>
        <v>75160.58</v>
      </c>
      <c r="F4" s="21">
        <f t="shared" si="0"/>
        <v>144565.29999999999</v>
      </c>
      <c r="H4" s="32" t="s">
        <v>66</v>
      </c>
      <c r="I4" s="16">
        <f>736.65+3240.56+2097.47</f>
        <v>6074.68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33">
        <f t="shared" si="1"/>
        <v>6074.68</v>
      </c>
    </row>
    <row r="5" spans="2:15" x14ac:dyDescent="0.25">
      <c r="B5" s="20" t="s">
        <v>86</v>
      </c>
      <c r="C5" s="16">
        <f>K3+K19+K35+K51</f>
        <v>17058.79</v>
      </c>
      <c r="D5" s="16">
        <f>K4+K20+K36+K52</f>
        <v>27114.69</v>
      </c>
      <c r="E5" s="16">
        <f>K5+K21+K37+K53</f>
        <v>51058.95</v>
      </c>
      <c r="F5" s="21">
        <f t="shared" si="0"/>
        <v>95232.43</v>
      </c>
      <c r="H5" s="32" t="s">
        <v>67</v>
      </c>
      <c r="I5" s="16">
        <v>518.61</v>
      </c>
      <c r="J5" s="16">
        <v>0</v>
      </c>
      <c r="K5" s="16">
        <v>0</v>
      </c>
      <c r="L5" s="16">
        <v>59600</v>
      </c>
      <c r="M5" s="16">
        <v>0</v>
      </c>
      <c r="N5" s="16">
        <v>295535</v>
      </c>
      <c r="O5" s="33">
        <f t="shared" si="1"/>
        <v>355653.61</v>
      </c>
    </row>
    <row r="6" spans="2:15" x14ac:dyDescent="0.25">
      <c r="B6" s="20" t="s">
        <v>59</v>
      </c>
      <c r="C6" s="16">
        <f>L3+L19+L35+L51</f>
        <v>0</v>
      </c>
      <c r="D6" s="16">
        <f>L4+L20+L36+L52</f>
        <v>0</v>
      </c>
      <c r="E6" s="16">
        <f>L5+L21+L37+L53</f>
        <v>59600</v>
      </c>
      <c r="F6" s="21">
        <f t="shared" si="0"/>
        <v>59600</v>
      </c>
      <c r="H6" s="32" t="s">
        <v>53</v>
      </c>
      <c r="I6" s="16">
        <f>881.88+8231.79+3299.17</f>
        <v>12412.84</v>
      </c>
      <c r="J6" s="16">
        <f>28980.5</f>
        <v>28980.5</v>
      </c>
      <c r="K6" s="16">
        <v>0</v>
      </c>
      <c r="L6" s="16">
        <v>9200</v>
      </c>
      <c r="M6" s="16">
        <v>0</v>
      </c>
      <c r="N6" s="16">
        <v>0</v>
      </c>
      <c r="O6" s="33">
        <f t="shared" si="1"/>
        <v>50593.34</v>
      </c>
    </row>
    <row r="7" spans="2:15" x14ac:dyDescent="0.25">
      <c r="B7" s="20" t="s">
        <v>60</v>
      </c>
      <c r="C7" s="16">
        <f>N3+N19+N35+N51</f>
        <v>0</v>
      </c>
      <c r="D7" s="16">
        <f>N4+N20+N36+N52</f>
        <v>0</v>
      </c>
      <c r="E7" s="16">
        <f>N5+N21+N37+N53</f>
        <v>295535</v>
      </c>
      <c r="F7" s="21">
        <f t="shared" si="0"/>
        <v>295535</v>
      </c>
      <c r="H7" s="32" t="s">
        <v>54</v>
      </c>
      <c r="I7" s="16">
        <f>320.31+4113.23+2396.94</f>
        <v>6830.48</v>
      </c>
      <c r="J7" s="16">
        <v>0</v>
      </c>
      <c r="K7" s="16">
        <v>0</v>
      </c>
      <c r="L7" s="16">
        <v>374000</v>
      </c>
      <c r="M7" s="16">
        <f>33760</f>
        <v>33760</v>
      </c>
      <c r="N7" s="16">
        <v>-6000</v>
      </c>
      <c r="O7" s="33">
        <f t="shared" si="1"/>
        <v>408590.48</v>
      </c>
    </row>
    <row r="8" spans="2:15" x14ac:dyDescent="0.25">
      <c r="B8" s="20" t="s">
        <v>78</v>
      </c>
      <c r="C8" s="16">
        <f>M3+M19+M35+M51</f>
        <v>0</v>
      </c>
      <c r="D8" s="16">
        <f>M4+M20+M36+M52</f>
        <v>0</v>
      </c>
      <c r="E8" s="16">
        <f>M5+M21+M37+M53</f>
        <v>0</v>
      </c>
      <c r="F8" s="21">
        <f t="shared" si="0"/>
        <v>0</v>
      </c>
      <c r="H8" s="32" t="s">
        <v>55</v>
      </c>
      <c r="I8" s="16">
        <f>282.85+3554.51+2321.22</f>
        <v>6158.58</v>
      </c>
      <c r="J8" s="16">
        <f>63389.87</f>
        <v>63389.87</v>
      </c>
      <c r="K8" s="16">
        <v>0</v>
      </c>
      <c r="L8" s="16">
        <v>64400</v>
      </c>
      <c r="M8" s="16">
        <v>0</v>
      </c>
      <c r="N8" s="16">
        <v>0</v>
      </c>
      <c r="O8" s="33">
        <f t="shared" si="1"/>
        <v>133948.45000000001</v>
      </c>
    </row>
    <row r="9" spans="2:15" ht="15" customHeight="1" thickBot="1" x14ac:dyDescent="0.3">
      <c r="B9" s="22" t="s">
        <v>56</v>
      </c>
      <c r="C9" s="23">
        <f>SUM(C3:C8)</f>
        <v>73815.77</v>
      </c>
      <c r="D9" s="23">
        <f>SUM(D3:D8)</f>
        <v>64365.789999999994</v>
      </c>
      <c r="E9" s="23">
        <f>SUM(E3:E8)</f>
        <v>490093.24</v>
      </c>
      <c r="F9" s="24">
        <f>SUM(F3:F8)</f>
        <v>628274.80000000005</v>
      </c>
      <c r="H9" s="32" t="s">
        <v>62</v>
      </c>
      <c r="I9" s="16">
        <f>332.78+3439.36+2052.59</f>
        <v>5824.7300000000005</v>
      </c>
      <c r="J9" s="16">
        <v>21319.59</v>
      </c>
      <c r="K9" s="16">
        <v>0</v>
      </c>
      <c r="L9" s="16">
        <v>106820</v>
      </c>
      <c r="M9" s="16">
        <v>0</v>
      </c>
      <c r="N9" s="16">
        <v>0</v>
      </c>
      <c r="O9" s="33">
        <f t="shared" si="1"/>
        <v>133964.32</v>
      </c>
    </row>
    <row r="10" spans="2:15" ht="15.75" thickBot="1" x14ac:dyDescent="0.3">
      <c r="H10" s="32" t="s">
        <v>63</v>
      </c>
      <c r="I10" s="16">
        <f>301.44+4435.87+1896.09</f>
        <v>6633.4</v>
      </c>
      <c r="J10" s="16">
        <v>76793.11</v>
      </c>
      <c r="K10" s="16">
        <v>0</v>
      </c>
      <c r="L10" s="16">
        <v>158237.5</v>
      </c>
      <c r="M10" s="16">
        <v>0</v>
      </c>
      <c r="N10" s="16">
        <v>773057.26</v>
      </c>
      <c r="O10" s="33">
        <f t="shared" si="1"/>
        <v>1014721.27</v>
      </c>
    </row>
    <row r="11" spans="2:15" x14ac:dyDescent="0.25">
      <c r="B11" s="17" t="s">
        <v>57</v>
      </c>
      <c r="C11" s="18" t="s">
        <v>53</v>
      </c>
      <c r="D11" s="18" t="s">
        <v>54</v>
      </c>
      <c r="E11" s="18" t="s">
        <v>55</v>
      </c>
      <c r="F11" s="19" t="s">
        <v>56</v>
      </c>
      <c r="H11" s="32" t="s">
        <v>64</v>
      </c>
      <c r="I11" s="16">
        <f>0.24+1083.65</f>
        <v>1083.8900000000001</v>
      </c>
      <c r="J11" s="16">
        <v>20000</v>
      </c>
      <c r="K11" s="16">
        <v>0</v>
      </c>
      <c r="L11" s="16">
        <v>0</v>
      </c>
      <c r="M11" s="16">
        <v>28995</v>
      </c>
      <c r="N11" s="16">
        <v>0</v>
      </c>
      <c r="O11" s="33">
        <f t="shared" si="1"/>
        <v>50078.89</v>
      </c>
    </row>
    <row r="12" spans="2:15" x14ac:dyDescent="0.25">
      <c r="B12" s="20" t="s">
        <v>61</v>
      </c>
      <c r="C12" s="16">
        <f>I6+I22+I38+I54</f>
        <v>17801.38</v>
      </c>
      <c r="D12" s="16">
        <f>I7+I23+I39+I55</f>
        <v>56853.84</v>
      </c>
      <c r="E12" s="16">
        <f>I8+I24+I40+I56</f>
        <v>23687.29</v>
      </c>
      <c r="F12" s="21">
        <f t="shared" ref="F12:F17" si="2">SUM(C12:E12)</f>
        <v>98342.510000000009</v>
      </c>
      <c r="H12" s="32" t="s">
        <v>70</v>
      </c>
      <c r="I12" s="16">
        <f>403.2+4260.16+1532.54</f>
        <v>6195.9</v>
      </c>
      <c r="J12" s="16">
        <v>0</v>
      </c>
      <c r="K12" s="16">
        <v>0</v>
      </c>
      <c r="L12" s="16">
        <v>336275</v>
      </c>
      <c r="M12" s="16">
        <v>69860</v>
      </c>
      <c r="N12" s="16">
        <v>0</v>
      </c>
      <c r="O12" s="33">
        <f t="shared" si="1"/>
        <v>412330.9</v>
      </c>
    </row>
    <row r="13" spans="2:15" x14ac:dyDescent="0.25">
      <c r="B13" s="20" t="s">
        <v>58</v>
      </c>
      <c r="C13" s="16">
        <f>J6+J22+J38+J54</f>
        <v>95749.13</v>
      </c>
      <c r="D13" s="16">
        <f>J7+J23+J39+J55</f>
        <v>59828.590000000004</v>
      </c>
      <c r="E13" s="16">
        <f>J8+J24+J40+J56</f>
        <v>132153.24</v>
      </c>
      <c r="F13" s="21">
        <f t="shared" si="2"/>
        <v>287730.95999999996</v>
      </c>
      <c r="H13" s="32" t="s">
        <v>69</v>
      </c>
      <c r="I13" s="16">
        <f>1341.59+4682.44+1783.85</f>
        <v>7807.8799999999992</v>
      </c>
      <c r="J13" s="16">
        <v>627022.36</v>
      </c>
      <c r="K13" s="16">
        <v>0</v>
      </c>
      <c r="L13" s="16">
        <v>28995</v>
      </c>
      <c r="M13" s="16">
        <v>0</v>
      </c>
      <c r="N13" s="16">
        <v>0</v>
      </c>
      <c r="O13" s="33">
        <f t="shared" si="1"/>
        <v>663825.24</v>
      </c>
    </row>
    <row r="14" spans="2:15" x14ac:dyDescent="0.25">
      <c r="B14" s="20" t="s">
        <v>86</v>
      </c>
      <c r="C14" s="16">
        <f>K6+K22+K38+K54</f>
        <v>9731.5400000000009</v>
      </c>
      <c r="D14" s="16">
        <f>K7+K23+K39+K55</f>
        <v>11587.51</v>
      </c>
      <c r="E14" s="16">
        <f>K8+K24+K40+K56</f>
        <v>24706.34</v>
      </c>
      <c r="F14" s="21">
        <f t="shared" si="2"/>
        <v>46025.39</v>
      </c>
      <c r="H14" s="32" t="s">
        <v>68</v>
      </c>
      <c r="I14" s="16">
        <f>1620.56+7095.64+2844.59</f>
        <v>11560.79</v>
      </c>
      <c r="J14" s="16">
        <v>16556</v>
      </c>
      <c r="K14" s="16">
        <v>0</v>
      </c>
      <c r="L14" s="16">
        <v>856566.53</v>
      </c>
      <c r="M14" s="16">
        <v>0</v>
      </c>
      <c r="N14" s="16">
        <v>0</v>
      </c>
      <c r="O14" s="33">
        <f t="shared" si="1"/>
        <v>884683.32000000007</v>
      </c>
    </row>
    <row r="15" spans="2:15" x14ac:dyDescent="0.25">
      <c r="B15" s="20" t="s">
        <v>59</v>
      </c>
      <c r="C15" s="16">
        <f>L6+L22+L38+L54</f>
        <v>9200</v>
      </c>
      <c r="D15" s="16">
        <f>L7+L23+L39+L55</f>
        <v>374000</v>
      </c>
      <c r="E15" s="16">
        <f>L8+L24+L40+L56</f>
        <v>64400</v>
      </c>
      <c r="F15" s="21">
        <f t="shared" si="2"/>
        <v>447600</v>
      </c>
      <c r="H15" s="34"/>
      <c r="I15" s="16"/>
      <c r="J15" s="16"/>
      <c r="K15" s="16"/>
      <c r="L15" s="16"/>
      <c r="M15" s="16"/>
      <c r="N15" s="16"/>
      <c r="O15" s="33"/>
    </row>
    <row r="16" spans="2:15" ht="15.75" customHeight="1" x14ac:dyDescent="0.25">
      <c r="B16" s="20" t="s">
        <v>60</v>
      </c>
      <c r="C16" s="16">
        <f>N6+N22+N38+N54</f>
        <v>0</v>
      </c>
      <c r="D16" s="16">
        <f>N7+N23+N39+N55</f>
        <v>-6000</v>
      </c>
      <c r="E16" s="16">
        <f>N8+N24+N56</f>
        <v>0</v>
      </c>
      <c r="F16" s="21">
        <f t="shared" si="2"/>
        <v>-6000</v>
      </c>
      <c r="H16" s="32" t="s">
        <v>56</v>
      </c>
      <c r="I16" s="16">
        <f>SUM(I3:I14)</f>
        <v>78960.03</v>
      </c>
      <c r="J16" s="16">
        <f>SUM(J3:J14)</f>
        <v>854061.42999999993</v>
      </c>
      <c r="K16" s="16">
        <f>SUM(K3:K14)</f>
        <v>0</v>
      </c>
      <c r="L16" s="16">
        <f>SUM(L3:L15)</f>
        <v>1994094.03</v>
      </c>
      <c r="M16" s="16">
        <f>SUM(M3:M14)</f>
        <v>132615</v>
      </c>
      <c r="N16" s="16">
        <f>SUM(N3:N14)</f>
        <v>1062592.26</v>
      </c>
      <c r="O16" s="33">
        <f>SUM(I16:N16)</f>
        <v>4122322.75</v>
      </c>
    </row>
    <row r="17" spans="2:15" ht="15.75" customHeight="1" x14ac:dyDescent="0.25">
      <c r="B17" s="20" t="s">
        <v>78</v>
      </c>
      <c r="C17" s="16">
        <f>M6+M22+M38+M54</f>
        <v>0</v>
      </c>
      <c r="D17" s="16">
        <f>M7+M23+M39+M55</f>
        <v>33760</v>
      </c>
      <c r="E17" s="16">
        <f>M8+M24+M40+M56</f>
        <v>0</v>
      </c>
      <c r="F17" s="21">
        <f t="shared" si="2"/>
        <v>33760</v>
      </c>
    </row>
    <row r="18" spans="2:15" ht="15.75" thickBot="1" x14ac:dyDescent="0.3">
      <c r="B18" s="22" t="s">
        <v>56</v>
      </c>
      <c r="C18" s="23">
        <f>SUM(C12:C17)</f>
        <v>132482.05000000002</v>
      </c>
      <c r="D18" s="23">
        <f>SUM(D12:D17)</f>
        <v>530029.93999999994</v>
      </c>
      <c r="E18" s="23">
        <f>SUM(E12:E17)</f>
        <v>244946.87</v>
      </c>
      <c r="F18" s="24">
        <f>SUM(F12:F17)</f>
        <v>907458.86</v>
      </c>
      <c r="H18" s="30" t="s">
        <v>79</v>
      </c>
      <c r="I18" s="31" t="s">
        <v>73</v>
      </c>
      <c r="J18" s="31" t="s">
        <v>74</v>
      </c>
      <c r="K18" s="31" t="s">
        <v>85</v>
      </c>
      <c r="L18" s="31" t="s">
        <v>76</v>
      </c>
      <c r="M18" s="31" t="s">
        <v>77</v>
      </c>
      <c r="N18" s="31" t="s">
        <v>75</v>
      </c>
      <c r="O18" s="31" t="s">
        <v>56</v>
      </c>
    </row>
    <row r="19" spans="2:15" ht="15.75" thickBot="1" x14ac:dyDescent="0.3">
      <c r="H19" s="32" t="s">
        <v>65</v>
      </c>
      <c r="I19" s="16">
        <f>1115.74+791.83</f>
        <v>1907.5700000000002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33">
        <f t="shared" ref="O19:O30" si="3">SUM(I19:N19)</f>
        <v>1907.5700000000002</v>
      </c>
    </row>
    <row r="20" spans="2:15" ht="15" customHeight="1" x14ac:dyDescent="0.25">
      <c r="B20" s="17" t="s">
        <v>57</v>
      </c>
      <c r="C20" s="18" t="s">
        <v>62</v>
      </c>
      <c r="D20" s="18" t="s">
        <v>63</v>
      </c>
      <c r="E20" s="18" t="s">
        <v>64</v>
      </c>
      <c r="F20" s="19" t="s">
        <v>56</v>
      </c>
      <c r="H20" s="32" t="s">
        <v>66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33">
        <f t="shared" si="3"/>
        <v>0</v>
      </c>
    </row>
    <row r="21" spans="2:15" x14ac:dyDescent="0.25">
      <c r="B21" s="20" t="s">
        <v>61</v>
      </c>
      <c r="C21" s="16">
        <f>I9+I25+I41+I57</f>
        <v>21646.95</v>
      </c>
      <c r="D21" s="16">
        <f>I10+I26+I42+I58</f>
        <v>21102.28</v>
      </c>
      <c r="E21" s="16">
        <f>I11+I27+I43+I59</f>
        <v>15496.150000000001</v>
      </c>
      <c r="F21" s="21">
        <f t="shared" ref="F21:F26" si="4">SUM(C21:E21)</f>
        <v>58245.38</v>
      </c>
      <c r="H21" s="32" t="s">
        <v>67</v>
      </c>
      <c r="I21" s="16">
        <f>1566.84+737.5</f>
        <v>2304.34</v>
      </c>
      <c r="J21" s="16">
        <f>29756.47+5276+1735</f>
        <v>36767.47</v>
      </c>
      <c r="K21" s="16">
        <v>0</v>
      </c>
      <c r="L21" s="16">
        <v>0</v>
      </c>
      <c r="M21" s="16">
        <v>0</v>
      </c>
      <c r="N21" s="16">
        <v>0</v>
      </c>
      <c r="O21" s="33">
        <f t="shared" si="3"/>
        <v>39071.81</v>
      </c>
    </row>
    <row r="22" spans="2:15" x14ac:dyDescent="0.25">
      <c r="B22" s="20" t="s">
        <v>58</v>
      </c>
      <c r="C22" s="16">
        <f>J9+J25+J41+J57</f>
        <v>116973.25</v>
      </c>
      <c r="D22" s="16">
        <f>J10+J26+J42+J58</f>
        <v>201199.57</v>
      </c>
      <c r="E22" s="16">
        <f>J11+J27+J43+J59</f>
        <v>99425.84</v>
      </c>
      <c r="F22" s="21">
        <f t="shared" si="4"/>
        <v>417598.66000000003</v>
      </c>
      <c r="H22" s="32" t="s">
        <v>53</v>
      </c>
      <c r="I22" s="16">
        <f>1030.83+730.82</f>
        <v>1761.65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33">
        <f t="shared" si="3"/>
        <v>1761.65</v>
      </c>
    </row>
    <row r="23" spans="2:15" x14ac:dyDescent="0.25">
      <c r="B23" s="20" t="s">
        <v>86</v>
      </c>
      <c r="C23" s="16">
        <f>K9+K25+K41+K57</f>
        <v>22834.29</v>
      </c>
      <c r="D23" s="16">
        <f>K10+K26+K42+K58</f>
        <v>15214.51</v>
      </c>
      <c r="E23" s="16">
        <f>K11+K27+K43+K59</f>
        <v>11432.64</v>
      </c>
      <c r="F23" s="21">
        <f t="shared" si="4"/>
        <v>49481.440000000002</v>
      </c>
      <c r="H23" s="32" t="s">
        <v>54</v>
      </c>
      <c r="I23" s="16">
        <f>2145+113.21+1159.28</f>
        <v>3417.49</v>
      </c>
      <c r="J23" s="16">
        <f>39600</f>
        <v>39600</v>
      </c>
      <c r="K23" s="16">
        <v>0</v>
      </c>
      <c r="L23" s="16">
        <v>0</v>
      </c>
      <c r="M23" s="16">
        <v>0</v>
      </c>
      <c r="N23" s="16">
        <v>0</v>
      </c>
      <c r="O23" s="33">
        <f t="shared" si="3"/>
        <v>43017.49</v>
      </c>
    </row>
    <row r="24" spans="2:15" x14ac:dyDescent="0.25">
      <c r="B24" s="20" t="s">
        <v>59</v>
      </c>
      <c r="C24" s="16">
        <f>L9+L25+L41+L57</f>
        <v>106820</v>
      </c>
      <c r="D24" s="16">
        <f>L10+L26+L42+L58</f>
        <v>158237.5</v>
      </c>
      <c r="E24" s="16">
        <f>L11+L27+L43+L59</f>
        <v>0</v>
      </c>
      <c r="F24" s="21">
        <f t="shared" si="4"/>
        <v>265057.5</v>
      </c>
      <c r="H24" s="32" t="s">
        <v>55</v>
      </c>
      <c r="I24" s="16">
        <f>2970</f>
        <v>2970</v>
      </c>
      <c r="J24" s="16">
        <f>29168</f>
        <v>29168</v>
      </c>
      <c r="K24" s="16">
        <v>0</v>
      </c>
      <c r="L24" s="16">
        <v>0</v>
      </c>
      <c r="M24" s="16">
        <v>0</v>
      </c>
      <c r="N24" s="16">
        <v>0</v>
      </c>
      <c r="O24" s="33">
        <f t="shared" si="3"/>
        <v>32138</v>
      </c>
    </row>
    <row r="25" spans="2:15" ht="15.75" customHeight="1" x14ac:dyDescent="0.25">
      <c r="B25" s="20" t="s">
        <v>60</v>
      </c>
      <c r="C25" s="16">
        <f>N9+N25+N41+N57</f>
        <v>0</v>
      </c>
      <c r="D25" s="16">
        <f>N10+N26+N42+N58</f>
        <v>773057.26</v>
      </c>
      <c r="E25" s="16">
        <f>N11+N27+N43+N59</f>
        <v>0</v>
      </c>
      <c r="F25" s="21">
        <f t="shared" si="4"/>
        <v>773057.26</v>
      </c>
      <c r="H25" s="32" t="s">
        <v>62</v>
      </c>
      <c r="I25" s="16">
        <f>5206.27+448.57</f>
        <v>5654.84</v>
      </c>
      <c r="J25" s="16">
        <v>63663.74</v>
      </c>
      <c r="K25" s="16"/>
      <c r="L25" s="16"/>
      <c r="M25" s="16"/>
      <c r="N25" s="16"/>
      <c r="O25" s="33">
        <f t="shared" si="3"/>
        <v>69318.58</v>
      </c>
    </row>
    <row r="26" spans="2:15" x14ac:dyDescent="0.25">
      <c r="B26" s="20" t="s">
        <v>78</v>
      </c>
      <c r="C26" s="16">
        <f>M9+M25+M41+M57</f>
        <v>0</v>
      </c>
      <c r="D26" s="16">
        <f>M10+M26+M42+M58</f>
        <v>0</v>
      </c>
      <c r="E26" s="16">
        <f>M11+M27+M43+M59</f>
        <v>28995</v>
      </c>
      <c r="F26" s="21">
        <f t="shared" si="4"/>
        <v>28995</v>
      </c>
      <c r="H26" s="32" t="s">
        <v>63</v>
      </c>
      <c r="I26" s="16">
        <f>2734.05-448.57</f>
        <v>2285.48</v>
      </c>
      <c r="J26" s="16">
        <v>81263.33</v>
      </c>
      <c r="K26" s="16"/>
      <c r="L26" s="16"/>
      <c r="M26" s="16"/>
      <c r="N26" s="16"/>
      <c r="O26" s="33">
        <f t="shared" si="3"/>
        <v>83548.81</v>
      </c>
    </row>
    <row r="27" spans="2:15" ht="15.75" thickBot="1" x14ac:dyDescent="0.3">
      <c r="B27" s="22" t="s">
        <v>56</v>
      </c>
      <c r="C27" s="23">
        <f>SUM(C21:C26)</f>
        <v>268274.49</v>
      </c>
      <c r="D27" s="23">
        <f>SUM(D21:D26)</f>
        <v>1168811.1200000001</v>
      </c>
      <c r="E27" s="23">
        <f>SUM(E21:E26)</f>
        <v>155349.63</v>
      </c>
      <c r="F27" s="24">
        <f>SUM(F21:F26)</f>
        <v>1592435.24</v>
      </c>
      <c r="H27" s="32" t="s">
        <v>64</v>
      </c>
      <c r="I27" s="16">
        <v>3508.46</v>
      </c>
      <c r="J27" s="16">
        <v>14824.45</v>
      </c>
      <c r="K27" s="16"/>
      <c r="L27" s="16"/>
      <c r="M27" s="16"/>
      <c r="N27" s="16"/>
      <c r="O27" s="33">
        <f t="shared" si="3"/>
        <v>18332.91</v>
      </c>
    </row>
    <row r="28" spans="2:15" ht="15.75" thickBot="1" x14ac:dyDescent="0.3">
      <c r="C28" s="13"/>
      <c r="D28" s="13"/>
      <c r="E28" s="13"/>
      <c r="F28" s="13"/>
      <c r="H28" s="32" t="s">
        <v>70</v>
      </c>
      <c r="I28" s="16">
        <v>6763.35</v>
      </c>
      <c r="J28" s="16">
        <v>50204.77</v>
      </c>
      <c r="K28" s="16"/>
      <c r="L28" s="16"/>
      <c r="M28" s="16"/>
      <c r="N28" s="16"/>
      <c r="O28" s="33">
        <f t="shared" si="3"/>
        <v>56968.119999999995</v>
      </c>
    </row>
    <row r="29" spans="2:15" x14ac:dyDescent="0.25">
      <c r="B29" s="17" t="s">
        <v>57</v>
      </c>
      <c r="C29" s="18" t="s">
        <v>70</v>
      </c>
      <c r="D29" s="18" t="s">
        <v>69</v>
      </c>
      <c r="E29" s="18" t="s">
        <v>68</v>
      </c>
      <c r="F29" s="19" t="s">
        <v>56</v>
      </c>
      <c r="H29" s="32" t="s">
        <v>69</v>
      </c>
      <c r="I29" s="16">
        <v>3286.03</v>
      </c>
      <c r="J29" s="16">
        <v>13399.84</v>
      </c>
      <c r="K29" s="16"/>
      <c r="L29" s="16"/>
      <c r="M29" s="16"/>
      <c r="N29" s="16"/>
      <c r="O29" s="33">
        <f t="shared" si="3"/>
        <v>16685.87</v>
      </c>
    </row>
    <row r="30" spans="2:15" x14ac:dyDescent="0.25">
      <c r="B30" s="20" t="s">
        <v>61</v>
      </c>
      <c r="C30" s="16">
        <f>I12+I28+I44+I60</f>
        <v>21754.2</v>
      </c>
      <c r="D30" s="16">
        <f>I13+I29+I45+I61</f>
        <v>22678.86</v>
      </c>
      <c r="E30" s="16">
        <f>I14+I30+I46+I62</f>
        <v>30219.64</v>
      </c>
      <c r="F30" s="21">
        <f t="shared" ref="F30:F35" si="5">SUM(C30:E30)</f>
        <v>74652.7</v>
      </c>
      <c r="H30" s="32" t="s">
        <v>68</v>
      </c>
      <c r="I30" s="16">
        <v>2959.53</v>
      </c>
      <c r="J30" s="16">
        <v>5269.89</v>
      </c>
      <c r="K30" s="16"/>
      <c r="L30" s="16"/>
      <c r="M30" s="16"/>
      <c r="N30" s="16"/>
      <c r="O30" s="33">
        <f t="shared" si="3"/>
        <v>8229.42</v>
      </c>
    </row>
    <row r="31" spans="2:15" x14ac:dyDescent="0.25">
      <c r="B31" s="20" t="s">
        <v>58</v>
      </c>
      <c r="C31" s="16">
        <f>J12+J28+J44+J60</f>
        <v>162364.85</v>
      </c>
      <c r="D31" s="16">
        <f>J13+J29+J45+J61</f>
        <v>667267.98</v>
      </c>
      <c r="E31" s="16">
        <f>J14+J30+J46+J62</f>
        <v>36397.879999999997</v>
      </c>
      <c r="F31" s="21">
        <f t="shared" si="5"/>
        <v>866030.71</v>
      </c>
      <c r="H31" s="34"/>
      <c r="I31" s="16"/>
      <c r="J31" s="16"/>
      <c r="K31" s="16"/>
      <c r="L31" s="16"/>
      <c r="M31" s="16"/>
      <c r="N31" s="16"/>
      <c r="O31" s="33"/>
    </row>
    <row r="32" spans="2:15" x14ac:dyDescent="0.25">
      <c r="B32" s="20" t="s">
        <v>86</v>
      </c>
      <c r="C32" s="16">
        <f>K12+K28+K44+K60</f>
        <v>115631.84</v>
      </c>
      <c r="D32" s="16">
        <f>K13+K29+K45+K61</f>
        <v>15832.72</v>
      </c>
      <c r="E32" s="16">
        <f>K14+K30+K46+K62</f>
        <v>9703.94</v>
      </c>
      <c r="F32" s="21">
        <f t="shared" si="5"/>
        <v>141168.5</v>
      </c>
      <c r="H32" s="32" t="s">
        <v>56</v>
      </c>
      <c r="I32" s="16">
        <f t="shared" ref="I32:N32" si="6">SUM(I19:I30)</f>
        <v>36818.74</v>
      </c>
      <c r="J32" s="16">
        <f t="shared" si="6"/>
        <v>334161.49000000005</v>
      </c>
      <c r="K32" s="16">
        <f t="shared" si="6"/>
        <v>0</v>
      </c>
      <c r="L32" s="16">
        <f t="shared" si="6"/>
        <v>0</v>
      </c>
      <c r="M32" s="16">
        <f t="shared" si="6"/>
        <v>0</v>
      </c>
      <c r="N32" s="16">
        <f t="shared" si="6"/>
        <v>0</v>
      </c>
      <c r="O32" s="33">
        <f>SUM(I32:N32)</f>
        <v>370980.23000000004</v>
      </c>
    </row>
    <row r="33" spans="2:15" x14ac:dyDescent="0.25">
      <c r="B33" s="20" t="s">
        <v>59</v>
      </c>
      <c r="C33" s="16">
        <f>L12+L28+L44+L60</f>
        <v>336275</v>
      </c>
      <c r="D33" s="16">
        <f>L13+L29+L45+L61</f>
        <v>33395</v>
      </c>
      <c r="E33" s="16">
        <f>L14+L30+L46+L62</f>
        <v>856566.53</v>
      </c>
      <c r="F33" s="21">
        <f t="shared" si="5"/>
        <v>1226236.53</v>
      </c>
      <c r="N33" s="28"/>
    </row>
    <row r="34" spans="2:15" x14ac:dyDescent="0.25">
      <c r="B34" s="20" t="s">
        <v>60</v>
      </c>
      <c r="C34" s="16">
        <f>N12+N28+N44+N60</f>
        <v>0</v>
      </c>
      <c r="D34" s="16">
        <f>N13+N29+N45+N61</f>
        <v>0</v>
      </c>
      <c r="E34" s="16">
        <f>N14+N30+N46+N62</f>
        <v>0</v>
      </c>
      <c r="F34" s="21">
        <f t="shared" si="5"/>
        <v>0</v>
      </c>
      <c r="H34" s="30" t="s">
        <v>80</v>
      </c>
      <c r="I34" s="31" t="s">
        <v>73</v>
      </c>
      <c r="J34" s="31" t="s">
        <v>74</v>
      </c>
      <c r="K34" s="31" t="s">
        <v>85</v>
      </c>
      <c r="L34" s="31" t="s">
        <v>76</v>
      </c>
      <c r="M34" s="31" t="s">
        <v>77</v>
      </c>
      <c r="N34" s="31" t="s">
        <v>75</v>
      </c>
      <c r="O34" s="31" t="s">
        <v>56</v>
      </c>
    </row>
    <row r="35" spans="2:15" x14ac:dyDescent="0.25">
      <c r="B35" s="20" t="s">
        <v>78</v>
      </c>
      <c r="C35" s="16">
        <f>M12+M28+M44+M60</f>
        <v>69860</v>
      </c>
      <c r="D35" s="16">
        <f>M13+M29+M45+M61</f>
        <v>0</v>
      </c>
      <c r="E35" s="16">
        <f>M14+M30+M62</f>
        <v>0</v>
      </c>
      <c r="F35" s="21">
        <f t="shared" si="5"/>
        <v>69860</v>
      </c>
      <c r="H35" s="32" t="s">
        <v>65</v>
      </c>
      <c r="I35" s="16">
        <f>2477.15</f>
        <v>2477.15</v>
      </c>
      <c r="J35" s="16">
        <f>4940.75</f>
        <v>4940.75</v>
      </c>
      <c r="K35" s="16">
        <v>0</v>
      </c>
      <c r="L35" s="16">
        <v>0</v>
      </c>
      <c r="M35" s="16">
        <v>0</v>
      </c>
      <c r="N35" s="16">
        <v>0</v>
      </c>
      <c r="O35" s="33">
        <f t="shared" ref="O35:O46" si="7">SUM(I35:N35)</f>
        <v>7417.9</v>
      </c>
    </row>
    <row r="36" spans="2:15" ht="15.75" thickBot="1" x14ac:dyDescent="0.3">
      <c r="B36" s="22" t="s">
        <v>56</v>
      </c>
      <c r="C36" s="23">
        <f>SUM(C30:C35)</f>
        <v>705885.89</v>
      </c>
      <c r="D36" s="23">
        <f>SUM(D30:D35)</f>
        <v>739174.55999999994</v>
      </c>
      <c r="E36" s="23">
        <f>SUM(E30:E35)</f>
        <v>932887.99</v>
      </c>
      <c r="F36" s="24">
        <f>SUM(F30:F35)</f>
        <v>2377948.44</v>
      </c>
      <c r="H36" s="32" t="s">
        <v>66</v>
      </c>
      <c r="I36" s="16">
        <f>551.75+1995.49</f>
        <v>2547.2399999999998</v>
      </c>
      <c r="J36" s="16">
        <f>10493.08</f>
        <v>10493.08</v>
      </c>
      <c r="K36" s="16">
        <v>0</v>
      </c>
      <c r="L36" s="16">
        <v>0</v>
      </c>
      <c r="M36" s="16">
        <v>0</v>
      </c>
      <c r="N36" s="16">
        <v>0</v>
      </c>
      <c r="O36" s="33">
        <f t="shared" si="7"/>
        <v>13040.32</v>
      </c>
    </row>
    <row r="37" spans="2:15" x14ac:dyDescent="0.25">
      <c r="C37" s="13"/>
      <c r="D37" s="13"/>
      <c r="E37" s="13"/>
      <c r="F37" s="13"/>
      <c r="H37" s="32" t="s">
        <v>67</v>
      </c>
      <c r="I37" s="16">
        <f>1655.25+2305.61</f>
        <v>3960.86</v>
      </c>
      <c r="J37" s="16">
        <f>9811</f>
        <v>9811</v>
      </c>
      <c r="K37" s="16">
        <v>0</v>
      </c>
      <c r="L37" s="16">
        <v>0</v>
      </c>
      <c r="M37" s="16">
        <v>0</v>
      </c>
      <c r="N37" s="16">
        <v>0</v>
      </c>
      <c r="O37" s="33">
        <f t="shared" si="7"/>
        <v>13771.86</v>
      </c>
    </row>
    <row r="38" spans="2:15" ht="15.75" thickBot="1" x14ac:dyDescent="0.3">
      <c r="C38" s="13"/>
      <c r="D38" s="13"/>
      <c r="E38" s="13"/>
      <c r="F38" s="13"/>
      <c r="H38" s="32" t="s">
        <v>53</v>
      </c>
      <c r="I38" s="16">
        <f>440+1649.07</f>
        <v>2089.0699999999997</v>
      </c>
      <c r="J38" s="16">
        <v>8330</v>
      </c>
      <c r="K38" s="16">
        <v>0</v>
      </c>
      <c r="L38" s="16">
        <v>0</v>
      </c>
      <c r="M38" s="16">
        <v>0</v>
      </c>
      <c r="N38" s="16">
        <v>0</v>
      </c>
      <c r="O38" s="33">
        <f t="shared" si="7"/>
        <v>10419.07</v>
      </c>
    </row>
    <row r="39" spans="2:15" x14ac:dyDescent="0.25">
      <c r="B39" s="17" t="s">
        <v>57</v>
      </c>
      <c r="C39" s="18" t="s">
        <v>82</v>
      </c>
      <c r="D39" s="13"/>
      <c r="E39" s="13"/>
      <c r="F39" s="13"/>
      <c r="H39" s="32" t="s">
        <v>54</v>
      </c>
      <c r="I39" s="16">
        <f>551.75+1884.77</f>
        <v>2436.52</v>
      </c>
      <c r="J39" s="16">
        <v>27357.1</v>
      </c>
      <c r="K39" s="16"/>
      <c r="L39" s="16"/>
      <c r="M39" s="16"/>
      <c r="N39" s="16"/>
      <c r="O39" s="33">
        <f t="shared" si="7"/>
        <v>29793.62</v>
      </c>
    </row>
    <row r="40" spans="2:15" x14ac:dyDescent="0.25">
      <c r="B40" s="20" t="s">
        <v>61</v>
      </c>
      <c r="C40" s="16">
        <f t="shared" ref="C40:C45" si="8">F3+F12+F21+F30</f>
        <v>264582.66000000003</v>
      </c>
      <c r="D40" s="13"/>
      <c r="E40" s="13"/>
      <c r="F40" s="13"/>
      <c r="H40" s="32" t="s">
        <v>55</v>
      </c>
      <c r="I40" s="16">
        <f>1218.6+1429.02</f>
        <v>2647.62</v>
      </c>
      <c r="J40" s="16">
        <v>16362.8</v>
      </c>
      <c r="K40" s="16"/>
      <c r="L40" s="16"/>
      <c r="M40" s="16"/>
      <c r="N40" s="16"/>
      <c r="O40" s="33">
        <f t="shared" si="7"/>
        <v>19010.419999999998</v>
      </c>
    </row>
    <row r="41" spans="2:15" x14ac:dyDescent="0.25">
      <c r="B41" s="20" t="s">
        <v>58</v>
      </c>
      <c r="C41" s="16">
        <f t="shared" si="8"/>
        <v>1715925.63</v>
      </c>
      <c r="D41" s="13"/>
      <c r="E41" s="13"/>
      <c r="F41" s="13"/>
      <c r="H41" s="32" t="s">
        <v>62</v>
      </c>
      <c r="I41" s="16">
        <v>1916.78</v>
      </c>
      <c r="J41" s="16">
        <v>4905.2</v>
      </c>
      <c r="K41" s="16"/>
      <c r="L41" s="16"/>
      <c r="M41" s="16"/>
      <c r="N41" s="16"/>
      <c r="O41" s="33">
        <f t="shared" si="7"/>
        <v>6821.98</v>
      </c>
    </row>
    <row r="42" spans="2:15" x14ac:dyDescent="0.25">
      <c r="B42" s="20" t="s">
        <v>86</v>
      </c>
      <c r="C42" s="16">
        <f t="shared" si="8"/>
        <v>331907.76</v>
      </c>
      <c r="D42" s="13"/>
      <c r="E42" s="13"/>
      <c r="F42" s="13"/>
      <c r="H42" s="32" t="s">
        <v>63</v>
      </c>
      <c r="I42" s="16">
        <v>2109.56</v>
      </c>
      <c r="J42" s="16">
        <v>5574.5</v>
      </c>
      <c r="K42" s="16"/>
      <c r="L42" s="16"/>
      <c r="M42" s="16"/>
      <c r="N42" s="16"/>
      <c r="O42" s="33">
        <f t="shared" si="7"/>
        <v>7684.0599999999995</v>
      </c>
    </row>
    <row r="43" spans="2:15" x14ac:dyDescent="0.25">
      <c r="B43" s="20" t="s">
        <v>59</v>
      </c>
      <c r="C43" s="16">
        <f t="shared" si="8"/>
        <v>1998494.03</v>
      </c>
      <c r="D43" s="13"/>
      <c r="E43" s="13"/>
      <c r="F43" s="13"/>
      <c r="H43" s="32" t="s">
        <v>64</v>
      </c>
      <c r="I43" s="16">
        <v>1356.55</v>
      </c>
      <c r="J43" s="16">
        <v>39845.81</v>
      </c>
      <c r="K43" s="16"/>
      <c r="L43" s="16"/>
      <c r="M43" s="16"/>
      <c r="N43" s="16"/>
      <c r="O43" s="33">
        <f t="shared" si="7"/>
        <v>41202.36</v>
      </c>
    </row>
    <row r="44" spans="2:15" x14ac:dyDescent="0.25">
      <c r="B44" s="20" t="s">
        <v>60</v>
      </c>
      <c r="C44" s="16">
        <f t="shared" si="8"/>
        <v>1062592.26</v>
      </c>
      <c r="D44" s="13"/>
      <c r="E44" s="13"/>
      <c r="F44" s="13"/>
      <c r="H44" s="32" t="s">
        <v>70</v>
      </c>
      <c r="I44" s="16">
        <v>1868.89</v>
      </c>
      <c r="J44" s="16">
        <v>74288.350000000006</v>
      </c>
      <c r="K44" s="16"/>
      <c r="L44" s="16"/>
      <c r="M44" s="16"/>
      <c r="N44" s="16"/>
      <c r="O44" s="33">
        <f t="shared" si="7"/>
        <v>76157.240000000005</v>
      </c>
    </row>
    <row r="45" spans="2:15" x14ac:dyDescent="0.25">
      <c r="B45" s="20" t="s">
        <v>78</v>
      </c>
      <c r="C45" s="16">
        <f t="shared" si="8"/>
        <v>132615</v>
      </c>
      <c r="D45" s="13"/>
      <c r="E45" s="13"/>
      <c r="F45" s="13"/>
      <c r="H45" s="32" t="s">
        <v>69</v>
      </c>
      <c r="I45" s="16">
        <v>1574.91</v>
      </c>
      <c r="J45" s="16">
        <v>10665.43</v>
      </c>
      <c r="K45" s="16"/>
      <c r="L45" s="16">
        <v>4400</v>
      </c>
      <c r="M45" s="16"/>
      <c r="N45" s="16"/>
      <c r="O45" s="33">
        <f t="shared" si="7"/>
        <v>16640.34</v>
      </c>
    </row>
    <row r="46" spans="2:15" ht="15.75" thickBot="1" x14ac:dyDescent="0.3">
      <c r="B46" s="22" t="s">
        <v>56</v>
      </c>
      <c r="C46" s="23">
        <f>SUM(C40:C45)</f>
        <v>5506117.3399999999</v>
      </c>
      <c r="D46" s="13"/>
      <c r="E46" s="13"/>
      <c r="F46" s="13"/>
      <c r="H46" s="32" t="s">
        <v>68</v>
      </c>
      <c r="I46" s="16">
        <v>3018.44</v>
      </c>
      <c r="J46" s="16">
        <v>-354.52</v>
      </c>
      <c r="K46" s="16"/>
      <c r="L46" s="16"/>
      <c r="M46" s="16"/>
      <c r="N46" s="16"/>
      <c r="O46" s="33">
        <f t="shared" si="7"/>
        <v>2663.92</v>
      </c>
    </row>
    <row r="47" spans="2:15" x14ac:dyDescent="0.25">
      <c r="C47" s="13"/>
      <c r="D47" s="13"/>
      <c r="E47" s="13"/>
      <c r="F47" s="13"/>
      <c r="H47" s="34"/>
      <c r="I47" s="16"/>
      <c r="J47" s="16"/>
      <c r="K47" s="16"/>
      <c r="L47" s="16"/>
      <c r="M47" s="16"/>
      <c r="N47" s="16"/>
      <c r="O47" s="33"/>
    </row>
    <row r="48" spans="2:15" x14ac:dyDescent="0.25">
      <c r="B48" t="s">
        <v>58</v>
      </c>
      <c r="C48" s="13">
        <f>C40+C41+C42</f>
        <v>2312416.0499999998</v>
      </c>
      <c r="D48" s="13"/>
      <c r="E48" s="13"/>
      <c r="F48" s="13"/>
      <c r="H48" s="32" t="s">
        <v>56</v>
      </c>
      <c r="I48" s="16">
        <f t="shared" ref="I48:N48" si="9">SUM(I35:I46)</f>
        <v>28003.589999999997</v>
      </c>
      <c r="J48" s="16">
        <f t="shared" si="9"/>
        <v>212219.5</v>
      </c>
      <c r="K48" s="16">
        <f t="shared" si="9"/>
        <v>0</v>
      </c>
      <c r="L48" s="16">
        <f t="shared" si="9"/>
        <v>4400</v>
      </c>
      <c r="M48" s="16">
        <f t="shared" si="9"/>
        <v>0</v>
      </c>
      <c r="N48" s="16">
        <f t="shared" si="9"/>
        <v>0</v>
      </c>
      <c r="O48" s="33">
        <f>SUM(I48:N48)</f>
        <v>244623.09</v>
      </c>
    </row>
    <row r="49" spans="2:15" x14ac:dyDescent="0.25">
      <c r="B49" t="s">
        <v>83</v>
      </c>
      <c r="C49" s="13">
        <f>C43+C44+C45</f>
        <v>3193701.29</v>
      </c>
    </row>
    <row r="50" spans="2:15" x14ac:dyDescent="0.25">
      <c r="C50" s="28">
        <f>SUM(C48:C49)</f>
        <v>5506117.3399999999</v>
      </c>
      <c r="H50" s="30" t="s">
        <v>81</v>
      </c>
      <c r="I50" s="31" t="s">
        <v>73</v>
      </c>
      <c r="J50" s="31" t="s">
        <v>74</v>
      </c>
      <c r="K50" s="31" t="s">
        <v>85</v>
      </c>
      <c r="L50" s="31" t="s">
        <v>76</v>
      </c>
      <c r="M50" s="31" t="s">
        <v>77</v>
      </c>
      <c r="N50" s="31" t="s">
        <v>75</v>
      </c>
      <c r="O50" s="31" t="s">
        <v>56</v>
      </c>
    </row>
    <row r="51" spans="2:15" x14ac:dyDescent="0.25">
      <c r="H51" s="32" t="s">
        <v>65</v>
      </c>
      <c r="I51" s="16">
        <v>2061.11</v>
      </c>
      <c r="J51" s="16">
        <v>37512.15</v>
      </c>
      <c r="K51" s="16">
        <v>17058.79</v>
      </c>
      <c r="L51" s="16"/>
      <c r="M51" s="16"/>
      <c r="N51" s="16"/>
      <c r="O51" s="33">
        <f t="shared" ref="O51:O62" si="10">SUM(I51:N51)</f>
        <v>56632.05</v>
      </c>
    </row>
    <row r="52" spans="2:15" x14ac:dyDescent="0.25">
      <c r="H52" s="32" t="s">
        <v>66</v>
      </c>
      <c r="I52" s="16">
        <v>1677.36</v>
      </c>
      <c r="J52" s="16">
        <v>16458.740000000002</v>
      </c>
      <c r="K52" s="16">
        <v>27114.69</v>
      </c>
      <c r="L52" s="16"/>
      <c r="M52" s="16"/>
      <c r="N52" s="16"/>
      <c r="O52" s="33">
        <f t="shared" si="10"/>
        <v>45250.79</v>
      </c>
    </row>
    <row r="53" spans="2:15" x14ac:dyDescent="0.25">
      <c r="H53" s="32" t="s">
        <v>67</v>
      </c>
      <c r="I53" s="16">
        <v>1954.9</v>
      </c>
      <c r="J53" s="16">
        <v>28582.11</v>
      </c>
      <c r="K53" s="16">
        <v>51058.95</v>
      </c>
      <c r="L53" s="16"/>
      <c r="M53" s="16"/>
      <c r="N53" s="16"/>
      <c r="O53" s="33">
        <f t="shared" si="10"/>
        <v>81595.959999999992</v>
      </c>
    </row>
    <row r="54" spans="2:15" x14ac:dyDescent="0.25">
      <c r="H54" s="32" t="s">
        <v>53</v>
      </c>
      <c r="I54" s="16">
        <f>1537.82</f>
        <v>1537.82</v>
      </c>
      <c r="J54" s="16">
        <v>58438.63</v>
      </c>
      <c r="K54" s="16">
        <v>9731.5400000000009</v>
      </c>
      <c r="L54" s="16"/>
      <c r="M54" s="16"/>
      <c r="N54" s="16"/>
      <c r="O54" s="33">
        <f t="shared" si="10"/>
        <v>69707.989999999991</v>
      </c>
    </row>
    <row r="55" spans="2:15" x14ac:dyDescent="0.25">
      <c r="H55" s="32" t="s">
        <v>54</v>
      </c>
      <c r="I55" s="16">
        <f>42535.18+1634.17</f>
        <v>44169.35</v>
      </c>
      <c r="J55" s="16">
        <v>-7128.51</v>
      </c>
      <c r="K55" s="16">
        <v>11587.51</v>
      </c>
      <c r="L55" s="16"/>
      <c r="M55" s="16"/>
      <c r="N55" s="16"/>
      <c r="O55" s="33">
        <f t="shared" si="10"/>
        <v>48628.35</v>
      </c>
    </row>
    <row r="56" spans="2:15" x14ac:dyDescent="0.25">
      <c r="H56" s="32" t="s">
        <v>55</v>
      </c>
      <c r="I56" s="16">
        <f>10799.97+1111.12</f>
        <v>11911.09</v>
      </c>
      <c r="J56" s="16">
        <v>23232.57</v>
      </c>
      <c r="K56" s="16">
        <v>24706.34</v>
      </c>
      <c r="L56" s="16"/>
      <c r="M56" s="16"/>
      <c r="N56" s="16"/>
      <c r="O56" s="33">
        <f t="shared" si="10"/>
        <v>59850</v>
      </c>
    </row>
    <row r="57" spans="2:15" x14ac:dyDescent="0.25">
      <c r="H57" s="32" t="s">
        <v>62</v>
      </c>
      <c r="I57" s="16">
        <f>6970.45+1280.15</f>
        <v>8250.6</v>
      </c>
      <c r="J57" s="16">
        <v>27084.720000000001</v>
      </c>
      <c r="K57" s="16">
        <v>22834.29</v>
      </c>
      <c r="L57" s="16"/>
      <c r="M57" s="16"/>
      <c r="N57" s="16"/>
      <c r="O57" s="33">
        <f t="shared" si="10"/>
        <v>58169.61</v>
      </c>
    </row>
    <row r="58" spans="2:15" x14ac:dyDescent="0.25">
      <c r="H58" s="32" t="s">
        <v>63</v>
      </c>
      <c r="I58" s="16">
        <v>10073.84</v>
      </c>
      <c r="J58" s="16">
        <v>37568.629999999997</v>
      </c>
      <c r="K58" s="16">
        <v>15214.51</v>
      </c>
      <c r="L58" s="16"/>
      <c r="M58" s="16"/>
      <c r="N58" s="16"/>
      <c r="O58" s="33">
        <f t="shared" si="10"/>
        <v>62856.98</v>
      </c>
    </row>
    <row r="59" spans="2:15" x14ac:dyDescent="0.25">
      <c r="H59" s="32" t="s">
        <v>64</v>
      </c>
      <c r="I59" s="16">
        <v>9547.25</v>
      </c>
      <c r="J59" s="16">
        <v>24755.58</v>
      </c>
      <c r="K59" s="16">
        <v>11432.64</v>
      </c>
      <c r="L59" s="16"/>
      <c r="M59" s="16"/>
      <c r="N59" s="16"/>
      <c r="O59" s="33">
        <f t="shared" si="10"/>
        <v>45735.47</v>
      </c>
    </row>
    <row r="60" spans="2:15" x14ac:dyDescent="0.25">
      <c r="H60" s="32" t="s">
        <v>70</v>
      </c>
      <c r="I60" s="16">
        <v>6926.06</v>
      </c>
      <c r="J60" s="16">
        <v>37871.730000000003</v>
      </c>
      <c r="K60" s="16">
        <v>115631.84</v>
      </c>
      <c r="L60" s="16"/>
      <c r="M60" s="16"/>
      <c r="N60" s="16"/>
      <c r="O60" s="33">
        <f t="shared" si="10"/>
        <v>160429.63</v>
      </c>
    </row>
    <row r="61" spans="2:15" x14ac:dyDescent="0.25">
      <c r="H61" s="32" t="s">
        <v>69</v>
      </c>
      <c r="I61" s="16">
        <v>10010.040000000001</v>
      </c>
      <c r="J61" s="16">
        <v>16180.35</v>
      </c>
      <c r="K61" s="16">
        <v>15832.72</v>
      </c>
      <c r="L61" s="16"/>
      <c r="M61" s="16"/>
      <c r="N61" s="16"/>
      <c r="O61" s="33">
        <f t="shared" si="10"/>
        <v>42023.11</v>
      </c>
    </row>
    <row r="62" spans="2:15" x14ac:dyDescent="0.25">
      <c r="H62" s="32" t="s">
        <v>68</v>
      </c>
      <c r="I62" s="16">
        <v>12680.88</v>
      </c>
      <c r="J62" s="16">
        <v>14926.51</v>
      </c>
      <c r="K62" s="16">
        <v>9703.94</v>
      </c>
      <c r="L62" s="16"/>
      <c r="M62" s="16"/>
      <c r="N62" s="16"/>
      <c r="O62" s="33">
        <f t="shared" si="10"/>
        <v>37311.33</v>
      </c>
    </row>
    <row r="63" spans="2:15" x14ac:dyDescent="0.25">
      <c r="H63" s="34"/>
      <c r="I63" s="16"/>
      <c r="J63" s="16"/>
      <c r="K63" s="16"/>
      <c r="L63" s="16"/>
      <c r="M63" s="16"/>
      <c r="N63" s="16"/>
      <c r="O63" s="33"/>
    </row>
    <row r="64" spans="2:15" x14ac:dyDescent="0.25">
      <c r="H64" s="32" t="s">
        <v>56</v>
      </c>
      <c r="I64" s="16">
        <f t="shared" ref="I64:N64" si="11">SUM(I51:I62)</f>
        <v>120800.30000000002</v>
      </c>
      <c r="J64" s="16">
        <f t="shared" si="11"/>
        <v>315483.20999999996</v>
      </c>
      <c r="K64" s="16">
        <f t="shared" si="11"/>
        <v>331907.75999999995</v>
      </c>
      <c r="L64" s="16">
        <f t="shared" si="11"/>
        <v>0</v>
      </c>
      <c r="M64" s="16">
        <f t="shared" si="11"/>
        <v>0</v>
      </c>
      <c r="N64" s="16">
        <f t="shared" si="11"/>
        <v>0</v>
      </c>
      <c r="O64" s="33">
        <f>SUM(I64:N64)</f>
        <v>768191.27</v>
      </c>
    </row>
    <row r="67" spans="10:11" x14ac:dyDescent="0.25">
      <c r="J67" s="29"/>
      <c r="K67" s="29"/>
    </row>
    <row r="68" spans="10:11" x14ac:dyDescent="0.25">
      <c r="J68" s="28"/>
      <c r="K68" s="2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QUADRO I</vt:lpstr>
      <vt:lpstr>QUADRO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PAULO GUANDELINI</cp:lastModifiedBy>
  <cp:lastPrinted>2015-02-19T17:31:07Z</cp:lastPrinted>
  <dcterms:created xsi:type="dcterms:W3CDTF">2011-06-02T02:54:49Z</dcterms:created>
  <dcterms:modified xsi:type="dcterms:W3CDTF">2018-07-27T12:39:39Z</dcterms:modified>
</cp:coreProperties>
</file>